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akparkmi.sharepoint.com/sites/Finance/Shared Documents/PAYROLL/COLLECTIVE BARGAINING AGREEMENTS/TPOAM [TECHNICAL, PROFESSIONAL, OFFICE WORKERS ASSOCIATION OF MICHIGAN]/"/>
    </mc:Choice>
  </mc:AlternateContent>
  <xr:revisionPtr revIDLastSave="282" documentId="14_{13904CC1-1E7E-43EE-93E9-2D44D7DB7EAD}" xr6:coauthVersionLast="47" xr6:coauthVersionMax="47" xr10:uidLastSave="{661ABA94-5163-4E47-98E5-E7666D1C85A9}"/>
  <bookViews>
    <workbookView xWindow="28680" yWindow="-120" windowWidth="29040" windowHeight="15720" firstSheet="4" activeTab="8" xr2:uid="{00000000-000D-0000-FFFF-FFFF00000000}"/>
  </bookViews>
  <sheets>
    <sheet name="3% Increase 2017" sheetId="2" r:id="rId1"/>
    <sheet name="2% Increase 2018" sheetId="3" r:id="rId2"/>
    <sheet name="5% Increase May 2023" sheetId="4" r:id="rId3"/>
    <sheet name="1.5% Increase July 2023" sheetId="5" r:id="rId4"/>
    <sheet name="1% Increase March 2024" sheetId="7" r:id="rId5"/>
    <sheet name="2% Increase July 2024" sheetId="6" r:id="rId6"/>
    <sheet name="3% Increase October 2025" sheetId="8" r:id="rId7"/>
    <sheet name="2.5% Increase July 2026" sheetId="9" r:id="rId8"/>
    <sheet name="2.5% Increase July 2027" sheetId="10" r:id="rId9"/>
  </sheets>
  <definedNames>
    <definedName name="_Sort" localSheetId="1" hidden="1">#REF!</definedName>
    <definedName name="_Sort" localSheetId="2" hidden="1">#REF!</definedName>
    <definedName name="_Sort" hidden="1">#REF!</definedName>
    <definedName name="Increase">#REF!</definedName>
    <definedName name="_xlnm.Print_Area" localSheetId="1">'2% Increase 2018'!$A$1:$J$74</definedName>
    <definedName name="_xlnm.Print_Area" localSheetId="0">'3% Increase 2017'!$A$1:$J$74</definedName>
    <definedName name="_xlnm.Print_Area" localSheetId="2">'5% Increase May 2023'!$A$1:$I$62</definedName>
    <definedName name="_xlnm.Print_Area">#REF!</definedName>
    <definedName name="PRINT_AREA_MI" localSheetId="1">#REF!</definedName>
    <definedName name="PRINT_AREA_MI" localSheetId="2">#REF!</definedName>
    <definedName name="PRINT_AREA_MI">#REF!</definedName>
    <definedName name="_xlnm.Print_Titles" localSheetId="1">#REF!</definedName>
    <definedName name="_xlnm.Print_Titles" localSheetId="2">#REF!</definedName>
    <definedName name="_xlnm.Print_Titles">#REF!</definedName>
    <definedName name="PRINT_TITLES_MI" localSheetId="1">#REF!</definedName>
    <definedName name="PRINT_TITLES_MI" localSheetId="2">#REF!</definedName>
    <definedName name="PRINT_TITLES_MI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8" l="1"/>
  <c r="G58" i="10"/>
  <c r="F58" i="10"/>
  <c r="E58" i="10"/>
  <c r="D58" i="10"/>
  <c r="C58" i="10"/>
  <c r="G55" i="10"/>
  <c r="F55" i="10"/>
  <c r="E55" i="10"/>
  <c r="D55" i="10"/>
  <c r="C55" i="10"/>
  <c r="G52" i="10"/>
  <c r="F52" i="10"/>
  <c r="E52" i="10"/>
  <c r="D52" i="10"/>
  <c r="C52" i="10"/>
  <c r="G49" i="10"/>
  <c r="F49" i="10"/>
  <c r="E49" i="10"/>
  <c r="D49" i="10"/>
  <c r="C49" i="10"/>
  <c r="G46" i="10"/>
  <c r="F46" i="10"/>
  <c r="E46" i="10"/>
  <c r="D46" i="10"/>
  <c r="C46" i="10"/>
  <c r="G43" i="10"/>
  <c r="F43" i="10"/>
  <c r="E43" i="10"/>
  <c r="D43" i="10"/>
  <c r="C43" i="10"/>
  <c r="G40" i="10"/>
  <c r="F40" i="10"/>
  <c r="E40" i="10"/>
  <c r="D40" i="10"/>
  <c r="C40" i="10"/>
  <c r="G36" i="10"/>
  <c r="F36" i="10"/>
  <c r="E36" i="10"/>
  <c r="D36" i="10"/>
  <c r="C36" i="10"/>
  <c r="G28" i="10"/>
  <c r="F28" i="10"/>
  <c r="E28" i="10"/>
  <c r="D28" i="10"/>
  <c r="C28" i="10"/>
  <c r="G25" i="10"/>
  <c r="F25" i="10"/>
  <c r="E25" i="10"/>
  <c r="D25" i="10"/>
  <c r="C25" i="10"/>
  <c r="G20" i="10"/>
  <c r="F20" i="10"/>
  <c r="E20" i="10"/>
  <c r="D20" i="10"/>
  <c r="C20" i="10"/>
  <c r="G17" i="10"/>
  <c r="F17" i="10"/>
  <c r="E17" i="10"/>
  <c r="D17" i="10"/>
  <c r="C17" i="10"/>
  <c r="G12" i="10"/>
  <c r="F12" i="10"/>
  <c r="E12" i="10"/>
  <c r="D12" i="10"/>
  <c r="C12" i="10"/>
  <c r="G7" i="10"/>
  <c r="F7" i="10"/>
  <c r="E7" i="10"/>
  <c r="D7" i="10"/>
  <c r="C7" i="10"/>
  <c r="G58" i="9"/>
  <c r="F58" i="9"/>
  <c r="E58" i="9"/>
  <c r="D58" i="9"/>
  <c r="C58" i="9"/>
  <c r="G55" i="9"/>
  <c r="F55" i="9"/>
  <c r="E55" i="9"/>
  <c r="D55" i="9"/>
  <c r="C55" i="9"/>
  <c r="G52" i="9"/>
  <c r="F52" i="9"/>
  <c r="E52" i="9"/>
  <c r="D52" i="9"/>
  <c r="C52" i="9"/>
  <c r="G49" i="9"/>
  <c r="F49" i="9"/>
  <c r="E49" i="9"/>
  <c r="D49" i="9"/>
  <c r="C49" i="9"/>
  <c r="G46" i="9"/>
  <c r="F46" i="9"/>
  <c r="E46" i="9"/>
  <c r="D46" i="9"/>
  <c r="C46" i="9"/>
  <c r="G43" i="9"/>
  <c r="F43" i="9"/>
  <c r="E43" i="9"/>
  <c r="D43" i="9"/>
  <c r="C43" i="9"/>
  <c r="G40" i="9"/>
  <c r="F40" i="9"/>
  <c r="E40" i="9"/>
  <c r="D40" i="9"/>
  <c r="C40" i="9"/>
  <c r="G36" i="9"/>
  <c r="F36" i="9"/>
  <c r="E36" i="9"/>
  <c r="D36" i="9"/>
  <c r="C36" i="9"/>
  <c r="G28" i="9"/>
  <c r="F28" i="9"/>
  <c r="E28" i="9"/>
  <c r="D28" i="9"/>
  <c r="C28" i="9"/>
  <c r="G25" i="9"/>
  <c r="F25" i="9"/>
  <c r="E25" i="9"/>
  <c r="D25" i="9"/>
  <c r="C25" i="9"/>
  <c r="G20" i="9"/>
  <c r="F20" i="9"/>
  <c r="E20" i="9"/>
  <c r="D20" i="9"/>
  <c r="C20" i="9"/>
  <c r="G17" i="9"/>
  <c r="F17" i="9"/>
  <c r="E17" i="9"/>
  <c r="D17" i="9"/>
  <c r="C17" i="9"/>
  <c r="G12" i="9"/>
  <c r="F12" i="9"/>
  <c r="E12" i="9"/>
  <c r="D12" i="9"/>
  <c r="C12" i="9"/>
  <c r="G7" i="9"/>
  <c r="F7" i="9"/>
  <c r="E7" i="9"/>
  <c r="D7" i="9"/>
  <c r="C7" i="9"/>
  <c r="C7" i="8"/>
  <c r="G58" i="8"/>
  <c r="F58" i="8"/>
  <c r="E58" i="8"/>
  <c r="D58" i="8"/>
  <c r="C58" i="8"/>
  <c r="G55" i="8"/>
  <c r="F55" i="8"/>
  <c r="E55" i="8"/>
  <c r="D55" i="8"/>
  <c r="C55" i="8"/>
  <c r="G52" i="8"/>
  <c r="F52" i="8"/>
  <c r="E52" i="8"/>
  <c r="D52" i="8"/>
  <c r="C52" i="8"/>
  <c r="G49" i="8"/>
  <c r="F49" i="8"/>
  <c r="E49" i="8"/>
  <c r="D49" i="8"/>
  <c r="C49" i="8"/>
  <c r="G46" i="8"/>
  <c r="F46" i="8"/>
  <c r="E46" i="8"/>
  <c r="D46" i="8"/>
  <c r="C46" i="8"/>
  <c r="G43" i="8"/>
  <c r="F43" i="8"/>
  <c r="D43" i="8"/>
  <c r="C43" i="8"/>
  <c r="G40" i="8"/>
  <c r="F40" i="8"/>
  <c r="E40" i="8"/>
  <c r="D40" i="8"/>
  <c r="C40" i="8"/>
  <c r="G36" i="8"/>
  <c r="F36" i="8"/>
  <c r="E36" i="8"/>
  <c r="D36" i="8"/>
  <c r="C36" i="8"/>
  <c r="G28" i="8"/>
  <c r="F28" i="8"/>
  <c r="E28" i="8"/>
  <c r="D28" i="8"/>
  <c r="C28" i="8"/>
  <c r="G25" i="8"/>
  <c r="F25" i="8"/>
  <c r="E25" i="8"/>
  <c r="D25" i="8"/>
  <c r="C25" i="8"/>
  <c r="G20" i="8"/>
  <c r="F20" i="8"/>
  <c r="E20" i="8"/>
  <c r="D20" i="8"/>
  <c r="C20" i="8"/>
  <c r="G17" i="8"/>
  <c r="F17" i="8"/>
  <c r="E17" i="8"/>
  <c r="D17" i="8"/>
  <c r="C17" i="8"/>
  <c r="G12" i="8"/>
  <c r="F12" i="8"/>
  <c r="E12" i="8"/>
  <c r="D12" i="8"/>
  <c r="C12" i="8"/>
  <c r="G7" i="8"/>
  <c r="F7" i="8"/>
  <c r="E7" i="8"/>
  <c r="D7" i="8"/>
  <c r="C46" i="6"/>
  <c r="C45" i="7"/>
  <c r="C43" i="6"/>
  <c r="C42" i="7"/>
  <c r="F17" i="6" l="1"/>
  <c r="G58" i="7"/>
  <c r="F58" i="7"/>
  <c r="E58" i="7"/>
  <c r="D58" i="7"/>
  <c r="C58" i="7"/>
  <c r="G54" i="7"/>
  <c r="F54" i="7"/>
  <c r="E54" i="7"/>
  <c r="D54" i="7"/>
  <c r="C54" i="7"/>
  <c r="G51" i="7"/>
  <c r="F51" i="7"/>
  <c r="E51" i="7"/>
  <c r="D51" i="7"/>
  <c r="C51" i="7"/>
  <c r="G48" i="7"/>
  <c r="F48" i="7"/>
  <c r="E48" i="7"/>
  <c r="D48" i="7"/>
  <c r="C48" i="7"/>
  <c r="G45" i="7"/>
  <c r="F45" i="7"/>
  <c r="E45" i="7"/>
  <c r="D45" i="7"/>
  <c r="G42" i="7"/>
  <c r="F42" i="7"/>
  <c r="E42" i="7"/>
  <c r="D42" i="7"/>
  <c r="G39" i="7"/>
  <c r="F39" i="7"/>
  <c r="E39" i="7"/>
  <c r="D39" i="7"/>
  <c r="C39" i="7"/>
  <c r="G36" i="7"/>
  <c r="F36" i="7"/>
  <c r="E36" i="7"/>
  <c r="D36" i="7"/>
  <c r="C36" i="7"/>
  <c r="G28" i="7"/>
  <c r="F28" i="7"/>
  <c r="E28" i="7"/>
  <c r="D28" i="7"/>
  <c r="C28" i="7"/>
  <c r="G25" i="7"/>
  <c r="F25" i="7"/>
  <c r="E25" i="7"/>
  <c r="D25" i="7"/>
  <c r="C25" i="7"/>
  <c r="G20" i="7"/>
  <c r="F20" i="7"/>
  <c r="E20" i="7"/>
  <c r="D20" i="7"/>
  <c r="C20" i="7"/>
  <c r="G17" i="7"/>
  <c r="F17" i="7"/>
  <c r="E17" i="7"/>
  <c r="D17" i="7"/>
  <c r="C17" i="7"/>
  <c r="G12" i="7"/>
  <c r="F12" i="7"/>
  <c r="E12" i="7"/>
  <c r="D12" i="7"/>
  <c r="C12" i="7"/>
  <c r="G7" i="7"/>
  <c r="F7" i="7"/>
  <c r="E7" i="7"/>
  <c r="D7" i="7"/>
  <c r="C7" i="7"/>
  <c r="H12" i="5"/>
  <c r="C40" i="5"/>
  <c r="G58" i="6"/>
  <c r="F58" i="6"/>
  <c r="E58" i="6"/>
  <c r="D58" i="6"/>
  <c r="C58" i="6"/>
  <c r="G55" i="6"/>
  <c r="F55" i="6"/>
  <c r="E55" i="6"/>
  <c r="D55" i="6"/>
  <c r="C55" i="6"/>
  <c r="G52" i="6"/>
  <c r="F52" i="6"/>
  <c r="E52" i="6"/>
  <c r="D52" i="6"/>
  <c r="C52" i="6"/>
  <c r="G49" i="6"/>
  <c r="F49" i="6"/>
  <c r="E49" i="6"/>
  <c r="D49" i="6"/>
  <c r="C49" i="6"/>
  <c r="G46" i="6"/>
  <c r="F46" i="6"/>
  <c r="E46" i="6"/>
  <c r="D46" i="6"/>
  <c r="G43" i="6"/>
  <c r="F43" i="6"/>
  <c r="E43" i="6"/>
  <c r="D43" i="6"/>
  <c r="G40" i="6"/>
  <c r="F40" i="6"/>
  <c r="E40" i="6"/>
  <c r="D40" i="6"/>
  <c r="C40" i="6"/>
  <c r="G36" i="6"/>
  <c r="F36" i="6"/>
  <c r="E36" i="6"/>
  <c r="D36" i="6"/>
  <c r="C36" i="6"/>
  <c r="G28" i="6"/>
  <c r="F28" i="6"/>
  <c r="E28" i="6"/>
  <c r="D28" i="6"/>
  <c r="C28" i="6"/>
  <c r="G25" i="6"/>
  <c r="F25" i="6"/>
  <c r="E25" i="6"/>
  <c r="D25" i="6"/>
  <c r="C25" i="6"/>
  <c r="G20" i="6"/>
  <c r="F20" i="6"/>
  <c r="E20" i="6"/>
  <c r="D20" i="6"/>
  <c r="C20" i="6"/>
  <c r="G17" i="6"/>
  <c r="E17" i="6"/>
  <c r="D17" i="6"/>
  <c r="C17" i="6"/>
  <c r="G12" i="6"/>
  <c r="F12" i="6"/>
  <c r="E12" i="6"/>
  <c r="D12" i="6"/>
  <c r="C12" i="6"/>
  <c r="G7" i="6"/>
  <c r="F7" i="6"/>
  <c r="E7" i="6"/>
  <c r="D7" i="6"/>
  <c r="C7" i="6"/>
  <c r="H59" i="5"/>
  <c r="G59" i="5"/>
  <c r="F59" i="5"/>
  <c r="E59" i="5"/>
  <c r="D59" i="5"/>
  <c r="C59" i="5"/>
  <c r="H55" i="5"/>
  <c r="G55" i="5"/>
  <c r="F55" i="5"/>
  <c r="E55" i="5"/>
  <c r="D55" i="5"/>
  <c r="C55" i="5"/>
  <c r="H52" i="5"/>
  <c r="G52" i="5"/>
  <c r="F52" i="5"/>
  <c r="E52" i="5"/>
  <c r="D52" i="5"/>
  <c r="C52" i="5"/>
  <c r="H49" i="5"/>
  <c r="G49" i="5"/>
  <c r="F49" i="5"/>
  <c r="E49" i="5"/>
  <c r="D49" i="5"/>
  <c r="C49" i="5"/>
  <c r="G46" i="5"/>
  <c r="F46" i="5"/>
  <c r="E46" i="5"/>
  <c r="D46" i="5"/>
  <c r="C46" i="5"/>
  <c r="G43" i="5"/>
  <c r="F43" i="5"/>
  <c r="E43" i="5"/>
  <c r="D43" i="5"/>
  <c r="C43" i="5"/>
  <c r="H40" i="5"/>
  <c r="G40" i="5"/>
  <c r="F40" i="5"/>
  <c r="E40" i="5"/>
  <c r="D40" i="5"/>
  <c r="H36" i="5"/>
  <c r="G36" i="5"/>
  <c r="F36" i="5"/>
  <c r="E36" i="5"/>
  <c r="D36" i="5"/>
  <c r="C36" i="5"/>
  <c r="H28" i="5"/>
  <c r="G28" i="5"/>
  <c r="F28" i="5"/>
  <c r="E28" i="5"/>
  <c r="D28" i="5"/>
  <c r="C28" i="5"/>
  <c r="H25" i="5"/>
  <c r="G25" i="5"/>
  <c r="F25" i="5"/>
  <c r="E25" i="5"/>
  <c r="D25" i="5"/>
  <c r="C25" i="5"/>
  <c r="H20" i="5"/>
  <c r="G20" i="5"/>
  <c r="F20" i="5"/>
  <c r="E20" i="5"/>
  <c r="D20" i="5"/>
  <c r="C20" i="5"/>
  <c r="H17" i="5"/>
  <c r="G17" i="5"/>
  <c r="F17" i="5"/>
  <c r="E17" i="5"/>
  <c r="D17" i="5"/>
  <c r="C17" i="5"/>
  <c r="G12" i="5"/>
  <c r="F12" i="5"/>
  <c r="E12" i="5"/>
  <c r="D12" i="5"/>
  <c r="C12" i="5"/>
  <c r="H7" i="5"/>
  <c r="G7" i="5"/>
  <c r="F7" i="5"/>
  <c r="E7" i="5"/>
  <c r="D7" i="5"/>
  <c r="C7" i="5"/>
  <c r="H7" i="4"/>
  <c r="H58" i="4"/>
  <c r="H54" i="4"/>
  <c r="H51" i="4"/>
  <c r="H48" i="4"/>
  <c r="H39" i="4"/>
  <c r="H36" i="4"/>
  <c r="H28" i="4"/>
  <c r="D25" i="4"/>
  <c r="H25" i="4"/>
  <c r="G25" i="4"/>
  <c r="F25" i="4"/>
  <c r="E25" i="4"/>
  <c r="C25" i="4"/>
  <c r="H20" i="4"/>
  <c r="H17" i="4"/>
  <c r="H12" i="4"/>
  <c r="D58" i="2"/>
  <c r="D64" i="3"/>
  <c r="C51" i="4" s="1"/>
  <c r="H64" i="3"/>
  <c r="G51" i="4" s="1"/>
  <c r="H71" i="3"/>
  <c r="G58" i="4" s="1"/>
  <c r="G71" i="3"/>
  <c r="F58" i="4" s="1"/>
  <c r="F71" i="3"/>
  <c r="E58" i="4" s="1"/>
  <c r="E71" i="3"/>
  <c r="D71" i="3"/>
  <c r="C58" i="4" s="1"/>
  <c r="C71" i="3"/>
  <c r="C67" i="3"/>
  <c r="D67" i="3"/>
  <c r="E67" i="3"/>
  <c r="D54" i="4" s="1"/>
  <c r="F67" i="3"/>
  <c r="E54" i="4" s="1"/>
  <c r="G67" i="3"/>
  <c r="F54" i="4" s="1"/>
  <c r="H67" i="3"/>
  <c r="G54" i="4" s="1"/>
  <c r="G64" i="3"/>
  <c r="F51" i="4" s="1"/>
  <c r="F64" i="3"/>
  <c r="E51" i="4" s="1"/>
  <c r="E64" i="3"/>
  <c r="C64" i="3"/>
  <c r="H61" i="3"/>
  <c r="G48" i="4" s="1"/>
  <c r="G61" i="3"/>
  <c r="F48" i="4" s="1"/>
  <c r="F61" i="3"/>
  <c r="E48" i="4" s="1"/>
  <c r="E61" i="3"/>
  <c r="D48" i="4" s="1"/>
  <c r="D61" i="3"/>
  <c r="C61" i="3"/>
  <c r="J58" i="3"/>
  <c r="G45" i="4" s="1"/>
  <c r="I58" i="3"/>
  <c r="F45" i="4" s="1"/>
  <c r="H58" i="3"/>
  <c r="E45" i="4" s="1"/>
  <c r="G58" i="3"/>
  <c r="D45" i="4" s="1"/>
  <c r="F58" i="3"/>
  <c r="C45" i="4" s="1"/>
  <c r="E58" i="3"/>
  <c r="D58" i="3"/>
  <c r="C58" i="3"/>
  <c r="J55" i="3"/>
  <c r="G42" i="4" s="1"/>
  <c r="I55" i="3"/>
  <c r="F42" i="4" s="1"/>
  <c r="H55" i="3"/>
  <c r="E42" i="4" s="1"/>
  <c r="G55" i="3"/>
  <c r="D42" i="4" s="1"/>
  <c r="F55" i="3"/>
  <c r="C42" i="4" s="1"/>
  <c r="E55" i="3"/>
  <c r="D55" i="3"/>
  <c r="C55" i="3"/>
  <c r="D50" i="3"/>
  <c r="C39" i="4" s="1"/>
  <c r="C50" i="3"/>
  <c r="E50" i="3"/>
  <c r="D39" i="4" s="1"/>
  <c r="F50" i="3"/>
  <c r="E39" i="4" s="1"/>
  <c r="G50" i="3"/>
  <c r="F39" i="4" s="1"/>
  <c r="H50" i="3"/>
  <c r="G39" i="4" s="1"/>
  <c r="H46" i="3"/>
  <c r="G36" i="4" s="1"/>
  <c r="G46" i="3"/>
  <c r="F36" i="4" s="1"/>
  <c r="F46" i="3"/>
  <c r="E36" i="4" s="1"/>
  <c r="E46" i="3"/>
  <c r="D36" i="4" s="1"/>
  <c r="D46" i="3"/>
  <c r="C36" i="4" s="1"/>
  <c r="C46" i="3"/>
  <c r="F34" i="3"/>
  <c r="F25" i="3"/>
  <c r="E17" i="4" s="1"/>
  <c r="H37" i="3"/>
  <c r="G28" i="4" s="1"/>
  <c r="G37" i="3"/>
  <c r="F28" i="4" s="1"/>
  <c r="F37" i="3"/>
  <c r="E28" i="4" s="1"/>
  <c r="E37" i="3"/>
  <c r="D28" i="4" s="1"/>
  <c r="D37" i="3"/>
  <c r="C28" i="4" s="1"/>
  <c r="C37" i="3"/>
  <c r="H34" i="3"/>
  <c r="G34" i="3"/>
  <c r="E34" i="3"/>
  <c r="D34" i="3"/>
  <c r="C34" i="3"/>
  <c r="H28" i="3"/>
  <c r="G20" i="4" s="1"/>
  <c r="G28" i="3"/>
  <c r="F20" i="4" s="1"/>
  <c r="F28" i="3"/>
  <c r="E20" i="4" s="1"/>
  <c r="E28" i="3"/>
  <c r="D20" i="4" s="1"/>
  <c r="D28" i="3"/>
  <c r="C28" i="3"/>
  <c r="H25" i="3"/>
  <c r="G17" i="4" s="1"/>
  <c r="G25" i="3"/>
  <c r="F17" i="4" s="1"/>
  <c r="E25" i="3"/>
  <c r="D17" i="4" s="1"/>
  <c r="D25" i="3"/>
  <c r="C17" i="4" s="1"/>
  <c r="C25" i="3"/>
  <c r="H17" i="3"/>
  <c r="G12" i="4" s="1"/>
  <c r="G17" i="3"/>
  <c r="F12" i="4" s="1"/>
  <c r="F17" i="3"/>
  <c r="E12" i="4" s="1"/>
  <c r="E17" i="3"/>
  <c r="D12" i="4" s="1"/>
  <c r="D17" i="3"/>
  <c r="C12" i="4" s="1"/>
  <c r="C17" i="3"/>
  <c r="H10" i="3"/>
  <c r="G7" i="4" s="1"/>
  <c r="G10" i="3"/>
  <c r="F7" i="4" s="1"/>
  <c r="F10" i="3"/>
  <c r="E10" i="3"/>
  <c r="D7" i="4" s="1"/>
  <c r="D10" i="3"/>
  <c r="C7" i="4" s="1"/>
  <c r="C10" i="3"/>
  <c r="H7" i="3"/>
  <c r="G7" i="3"/>
  <c r="F7" i="3"/>
  <c r="E7" i="3"/>
  <c r="D7" i="3"/>
  <c r="C7" i="3"/>
  <c r="C48" i="4" l="1"/>
  <c r="D51" i="4"/>
  <c r="D58" i="4"/>
  <c r="C54" i="4"/>
  <c r="C20" i="4"/>
  <c r="E7" i="4"/>
  <c r="C7" i="2"/>
  <c r="C6" i="3" l="1"/>
  <c r="Q71" i="3"/>
  <c r="O71" i="3"/>
  <c r="P71" i="3" s="1"/>
  <c r="G70" i="3"/>
  <c r="F70" i="3"/>
  <c r="E70" i="3"/>
  <c r="C70" i="3"/>
  <c r="H70" i="3"/>
  <c r="D70" i="3"/>
  <c r="O67" i="3"/>
  <c r="P67" i="3" s="1"/>
  <c r="H66" i="3"/>
  <c r="F66" i="3"/>
  <c r="E66" i="3"/>
  <c r="D66" i="3"/>
  <c r="Q67" i="3"/>
  <c r="G66" i="3"/>
  <c r="C66" i="3"/>
  <c r="O64" i="3"/>
  <c r="P64" i="3" s="1"/>
  <c r="H63" i="3"/>
  <c r="G63" i="3"/>
  <c r="E63" i="3"/>
  <c r="D63" i="3"/>
  <c r="C63" i="3"/>
  <c r="F63" i="3"/>
  <c r="O61" i="3"/>
  <c r="P61" i="3" s="1"/>
  <c r="H60" i="3"/>
  <c r="G60" i="3"/>
  <c r="F60" i="3"/>
  <c r="D60" i="3"/>
  <c r="Q61" i="3"/>
  <c r="R61" i="3" s="1"/>
  <c r="P60" i="3"/>
  <c r="E60" i="3"/>
  <c r="O58" i="3"/>
  <c r="P58" i="3" s="1"/>
  <c r="I57" i="3"/>
  <c r="E57" i="3"/>
  <c r="P57" i="3"/>
  <c r="J57" i="3"/>
  <c r="H57" i="3"/>
  <c r="G57" i="3"/>
  <c r="F57" i="3"/>
  <c r="D57" i="3"/>
  <c r="C57" i="3"/>
  <c r="O55" i="3"/>
  <c r="P55" i="3" s="1"/>
  <c r="H54" i="3"/>
  <c r="D54" i="3"/>
  <c r="Q55" i="3"/>
  <c r="P54" i="3"/>
  <c r="J54" i="3"/>
  <c r="I54" i="3"/>
  <c r="G54" i="3"/>
  <c r="F54" i="3"/>
  <c r="E54" i="3"/>
  <c r="C54" i="3"/>
  <c r="O50" i="3"/>
  <c r="P50" i="3" s="1"/>
  <c r="H49" i="3"/>
  <c r="G49" i="3"/>
  <c r="E49" i="3"/>
  <c r="D49" i="3"/>
  <c r="C49" i="3"/>
  <c r="F49" i="3"/>
  <c r="O46" i="3"/>
  <c r="P46" i="3" s="1"/>
  <c r="H45" i="3"/>
  <c r="G45" i="3"/>
  <c r="F45" i="3"/>
  <c r="D45" i="3"/>
  <c r="Q46" i="3"/>
  <c r="R46" i="3" s="1"/>
  <c r="P45" i="3"/>
  <c r="E45" i="3"/>
  <c r="O37" i="3"/>
  <c r="P37" i="3" s="1"/>
  <c r="G36" i="3"/>
  <c r="F36" i="3"/>
  <c r="E36" i="3"/>
  <c r="Q37" i="3"/>
  <c r="H36" i="3"/>
  <c r="D36" i="3"/>
  <c r="O34" i="3"/>
  <c r="P34" i="3" s="1"/>
  <c r="H33" i="3"/>
  <c r="F33" i="3"/>
  <c r="E33" i="3"/>
  <c r="D33" i="3"/>
  <c r="Q34" i="3"/>
  <c r="G33" i="3"/>
  <c r="C33" i="3"/>
  <c r="O28" i="3"/>
  <c r="P28" i="3" s="1"/>
  <c r="H27" i="3"/>
  <c r="G27" i="3"/>
  <c r="E27" i="3"/>
  <c r="D27" i="3"/>
  <c r="C27" i="3"/>
  <c r="F27" i="3"/>
  <c r="O25" i="3"/>
  <c r="P25" i="3" s="1"/>
  <c r="H24" i="3"/>
  <c r="G24" i="3"/>
  <c r="F24" i="3"/>
  <c r="D24" i="3"/>
  <c r="Q25" i="3"/>
  <c r="R25" i="3" s="1"/>
  <c r="P24" i="3"/>
  <c r="E24" i="3"/>
  <c r="Q17" i="3"/>
  <c r="O17" i="3"/>
  <c r="P17" i="3" s="1"/>
  <c r="G16" i="3"/>
  <c r="F16" i="3"/>
  <c r="E16" i="3"/>
  <c r="C16" i="3"/>
  <c r="H16" i="3"/>
  <c r="D16" i="3"/>
  <c r="O10" i="3"/>
  <c r="P10" i="3" s="1"/>
  <c r="H9" i="3"/>
  <c r="F9" i="3"/>
  <c r="E9" i="3"/>
  <c r="D9" i="3"/>
  <c r="Q10" i="3"/>
  <c r="G9" i="3"/>
  <c r="C9" i="3"/>
  <c r="O7" i="3"/>
  <c r="P7" i="3" s="1"/>
  <c r="H6" i="3"/>
  <c r="G6" i="3"/>
  <c r="E6" i="3"/>
  <c r="D6" i="3"/>
  <c r="F6" i="3"/>
  <c r="H71" i="2"/>
  <c r="G71" i="2"/>
  <c r="F71" i="2"/>
  <c r="E71" i="2"/>
  <c r="D71" i="2"/>
  <c r="C71" i="2"/>
  <c r="C67" i="2"/>
  <c r="D67" i="2"/>
  <c r="E67" i="2"/>
  <c r="F67" i="2"/>
  <c r="G67" i="2"/>
  <c r="H67" i="2"/>
  <c r="H64" i="2"/>
  <c r="G64" i="2"/>
  <c r="F64" i="2"/>
  <c r="E64" i="2"/>
  <c r="D64" i="2"/>
  <c r="C64" i="2"/>
  <c r="C61" i="2"/>
  <c r="D61" i="2"/>
  <c r="E61" i="2"/>
  <c r="F61" i="2"/>
  <c r="G61" i="2"/>
  <c r="H61" i="2"/>
  <c r="J58" i="2"/>
  <c r="I58" i="2"/>
  <c r="H58" i="2"/>
  <c r="G58" i="2"/>
  <c r="F58" i="2"/>
  <c r="E58" i="2"/>
  <c r="C58" i="2"/>
  <c r="C55" i="2"/>
  <c r="D55" i="2"/>
  <c r="E55" i="2"/>
  <c r="F55" i="2"/>
  <c r="G55" i="2"/>
  <c r="H55" i="2"/>
  <c r="I55" i="2"/>
  <c r="J55" i="2"/>
  <c r="H50" i="2"/>
  <c r="G50" i="2"/>
  <c r="F50" i="2"/>
  <c r="E50" i="2"/>
  <c r="D50" i="2"/>
  <c r="C50" i="2"/>
  <c r="H46" i="2"/>
  <c r="G46" i="2"/>
  <c r="F46" i="2"/>
  <c r="E46" i="2"/>
  <c r="D46" i="2"/>
  <c r="C46" i="2"/>
  <c r="H37" i="2"/>
  <c r="G37" i="2"/>
  <c r="F37" i="2"/>
  <c r="E37" i="2"/>
  <c r="D37" i="2"/>
  <c r="C37" i="2"/>
  <c r="H34" i="2"/>
  <c r="G34" i="2"/>
  <c r="F34" i="2"/>
  <c r="E34" i="2"/>
  <c r="D34" i="2"/>
  <c r="C34" i="2"/>
  <c r="H28" i="2"/>
  <c r="G28" i="2"/>
  <c r="F28" i="2"/>
  <c r="E28" i="2"/>
  <c r="D28" i="2"/>
  <c r="C28" i="2"/>
  <c r="H25" i="2"/>
  <c r="G25" i="2"/>
  <c r="F25" i="2"/>
  <c r="E25" i="2"/>
  <c r="D25" i="2"/>
  <c r="C25" i="2"/>
  <c r="H17" i="2"/>
  <c r="G17" i="2"/>
  <c r="F17" i="2"/>
  <c r="E17" i="2"/>
  <c r="D17" i="2"/>
  <c r="C17" i="2"/>
  <c r="H10" i="2"/>
  <c r="G10" i="2"/>
  <c r="F10" i="2"/>
  <c r="E10" i="2"/>
  <c r="D10" i="2"/>
  <c r="C10" i="2"/>
  <c r="H7" i="2"/>
  <c r="H6" i="2" s="1"/>
  <c r="G7" i="2"/>
  <c r="G6" i="2" s="1"/>
  <c r="F7" i="2"/>
  <c r="F6" i="2" s="1"/>
  <c r="E7" i="2"/>
  <c r="E6" i="2" s="1"/>
  <c r="D7" i="2"/>
  <c r="D6" i="2" s="1"/>
  <c r="C6" i="2"/>
  <c r="R71" i="3" l="1"/>
  <c r="Q57" i="3"/>
  <c r="R57" i="3" s="1"/>
  <c r="Q54" i="3"/>
  <c r="R54" i="3" s="1"/>
  <c r="Q33" i="3"/>
  <c r="R34" i="3"/>
  <c r="Q27" i="3"/>
  <c r="R17" i="3"/>
  <c r="R10" i="3"/>
  <c r="P6" i="3"/>
  <c r="Q16" i="3"/>
  <c r="P49" i="3"/>
  <c r="P63" i="3"/>
  <c r="Q66" i="3"/>
  <c r="Q70" i="3"/>
  <c r="P27" i="3"/>
  <c r="R37" i="3"/>
  <c r="Q49" i="3"/>
  <c r="Q63" i="3"/>
  <c r="R67" i="3"/>
  <c r="Q9" i="3"/>
  <c r="Q6" i="3"/>
  <c r="R55" i="3"/>
  <c r="Q7" i="3"/>
  <c r="R7" i="3" s="1"/>
  <c r="P9" i="3"/>
  <c r="C24" i="3"/>
  <c r="Q24" i="3" s="1"/>
  <c r="R24" i="3" s="1"/>
  <c r="Q28" i="3"/>
  <c r="R28" i="3" s="1"/>
  <c r="P33" i="3"/>
  <c r="C45" i="3"/>
  <c r="Q45" i="3" s="1"/>
  <c r="R45" i="3" s="1"/>
  <c r="Q50" i="3"/>
  <c r="R50" i="3" s="1"/>
  <c r="C60" i="3"/>
  <c r="Q60" i="3" s="1"/>
  <c r="R60" i="3" s="1"/>
  <c r="Q64" i="3"/>
  <c r="R64" i="3" s="1"/>
  <c r="P66" i="3"/>
  <c r="C36" i="3"/>
  <c r="Q36" i="3" s="1"/>
  <c r="Q58" i="3"/>
  <c r="R58" i="3" s="1"/>
  <c r="P16" i="3"/>
  <c r="P36" i="3"/>
  <c r="P70" i="3"/>
  <c r="O71" i="2"/>
  <c r="P71" i="2" s="1"/>
  <c r="P70" i="2" s="1"/>
  <c r="H70" i="2"/>
  <c r="G70" i="2"/>
  <c r="F70" i="2"/>
  <c r="E70" i="2"/>
  <c r="D70" i="2"/>
  <c r="C70" i="2"/>
  <c r="O67" i="2"/>
  <c r="P67" i="2" s="1"/>
  <c r="P66" i="2" s="1"/>
  <c r="G66" i="2"/>
  <c r="F66" i="2"/>
  <c r="E66" i="2"/>
  <c r="D66" i="2"/>
  <c r="C66" i="2"/>
  <c r="O64" i="2"/>
  <c r="P64" i="2" s="1"/>
  <c r="P63" i="2" s="1"/>
  <c r="H63" i="2"/>
  <c r="G63" i="2"/>
  <c r="F63" i="2"/>
  <c r="E63" i="2"/>
  <c r="D63" i="2"/>
  <c r="C63" i="2"/>
  <c r="O61" i="2"/>
  <c r="P61" i="2" s="1"/>
  <c r="P60" i="2" s="1"/>
  <c r="H60" i="2"/>
  <c r="G60" i="2"/>
  <c r="F60" i="2"/>
  <c r="E60" i="2"/>
  <c r="D60" i="2"/>
  <c r="C60" i="2"/>
  <c r="O58" i="2"/>
  <c r="P58" i="2" s="1"/>
  <c r="P57" i="2" s="1"/>
  <c r="J57" i="2"/>
  <c r="I57" i="2"/>
  <c r="H57" i="2"/>
  <c r="G57" i="2"/>
  <c r="F57" i="2"/>
  <c r="E57" i="2"/>
  <c r="C57" i="2"/>
  <c r="O55" i="2"/>
  <c r="P55" i="2" s="1"/>
  <c r="P54" i="2" s="1"/>
  <c r="R70" i="3" l="1"/>
  <c r="R49" i="3"/>
  <c r="R33" i="3"/>
  <c r="R27" i="3"/>
  <c r="R9" i="3"/>
  <c r="R63" i="3"/>
  <c r="R6" i="3"/>
  <c r="R36" i="3"/>
  <c r="R66" i="3"/>
  <c r="R16" i="3"/>
  <c r="Q70" i="2"/>
  <c r="R70" i="2" s="1"/>
  <c r="Q71" i="2"/>
  <c r="R71" i="2" s="1"/>
  <c r="Q60" i="2"/>
  <c r="R60" i="2" s="1"/>
  <c r="Q58" i="2"/>
  <c r="R58" i="2" s="1"/>
  <c r="D57" i="2"/>
  <c r="Q57" i="2" s="1"/>
  <c r="R57" i="2" s="1"/>
  <c r="Q61" i="2"/>
  <c r="R61" i="2" s="1"/>
  <c r="Q64" i="2"/>
  <c r="R64" i="2" s="1"/>
  <c r="Q67" i="2"/>
  <c r="R67" i="2" s="1"/>
  <c r="H66" i="2"/>
  <c r="Q66" i="2" s="1"/>
  <c r="R66" i="2" s="1"/>
  <c r="Q63" i="2"/>
  <c r="R63" i="2" s="1"/>
  <c r="I54" i="2"/>
  <c r="J54" i="2"/>
  <c r="H54" i="2"/>
  <c r="G54" i="2"/>
  <c r="E54" i="2"/>
  <c r="D54" i="2"/>
  <c r="C54" i="2"/>
  <c r="O50" i="2"/>
  <c r="P50" i="2" s="1"/>
  <c r="P49" i="2" s="1"/>
  <c r="H49" i="2"/>
  <c r="G49" i="2"/>
  <c r="F49" i="2"/>
  <c r="E49" i="2"/>
  <c r="C49" i="2"/>
  <c r="O46" i="2"/>
  <c r="P46" i="2" s="1"/>
  <c r="P45" i="2" s="1"/>
  <c r="H45" i="2"/>
  <c r="G45" i="2"/>
  <c r="F45" i="2"/>
  <c r="E45" i="2"/>
  <c r="C45" i="2"/>
  <c r="O37" i="2"/>
  <c r="P37" i="2" s="1"/>
  <c r="P36" i="2" s="1"/>
  <c r="H36" i="2"/>
  <c r="G36" i="2"/>
  <c r="F36" i="2"/>
  <c r="E36" i="2"/>
  <c r="C36" i="2"/>
  <c r="O34" i="2"/>
  <c r="P34" i="2" s="1"/>
  <c r="P33" i="2" s="1"/>
  <c r="H33" i="2"/>
  <c r="G33" i="2"/>
  <c r="F33" i="2"/>
  <c r="E33" i="2"/>
  <c r="D33" i="2"/>
  <c r="C33" i="2"/>
  <c r="O28" i="2"/>
  <c r="P28" i="2" s="1"/>
  <c r="P27" i="2" s="1"/>
  <c r="H27" i="2"/>
  <c r="G27" i="2"/>
  <c r="F27" i="2"/>
  <c r="E27" i="2"/>
  <c r="D27" i="2"/>
  <c r="C27" i="2"/>
  <c r="O17" i="2"/>
  <c r="P17" i="2" s="1"/>
  <c r="P16" i="2" s="1"/>
  <c r="O10" i="2"/>
  <c r="P10" i="2" s="1"/>
  <c r="P9" i="2" s="1"/>
  <c r="O7" i="2"/>
  <c r="P7" i="2" s="1"/>
  <c r="P6" i="2" s="1"/>
  <c r="O25" i="2"/>
  <c r="P25" i="2" s="1"/>
  <c r="P24" i="2" s="1"/>
  <c r="H24" i="2"/>
  <c r="G24" i="2"/>
  <c r="F24" i="2"/>
  <c r="E24" i="2"/>
  <c r="D24" i="2"/>
  <c r="H16" i="2"/>
  <c r="G16" i="2"/>
  <c r="F16" i="2"/>
  <c r="E16" i="2"/>
  <c r="D16" i="2"/>
  <c r="C16" i="2"/>
  <c r="H9" i="2"/>
  <c r="G9" i="2"/>
  <c r="F9" i="2"/>
  <c r="E9" i="2"/>
  <c r="D9" i="2"/>
  <c r="C9" i="2"/>
  <c r="Q16" i="2" l="1"/>
  <c r="R16" i="2" s="1"/>
  <c r="Q55" i="2"/>
  <c r="R55" i="2" s="1"/>
  <c r="Q27" i="2"/>
  <c r="R27" i="2" s="1"/>
  <c r="Q17" i="2"/>
  <c r="R17" i="2" s="1"/>
  <c r="Q25" i="2"/>
  <c r="R25" i="2" s="1"/>
  <c r="Q37" i="2"/>
  <c r="R37" i="2" s="1"/>
  <c r="Q46" i="2"/>
  <c r="R46" i="2" s="1"/>
  <c r="Q50" i="2"/>
  <c r="Q9" i="2"/>
  <c r="R9" i="2" s="1"/>
  <c r="Q6" i="2"/>
  <c r="R6" i="2" s="1"/>
  <c r="Q7" i="2"/>
  <c r="R7" i="2" s="1"/>
  <c r="Q28" i="2"/>
  <c r="R28" i="2" s="1"/>
  <c r="Q34" i="2"/>
  <c r="R34" i="2" s="1"/>
  <c r="C24" i="2"/>
  <c r="Q24" i="2" s="1"/>
  <c r="R24" i="2" s="1"/>
  <c r="Q10" i="2"/>
  <c r="R10" i="2" s="1"/>
  <c r="Q33" i="2"/>
  <c r="R33" i="2" s="1"/>
  <c r="D36" i="2"/>
  <c r="Q36" i="2" s="1"/>
  <c r="R36" i="2" s="1"/>
  <c r="D45" i="2"/>
  <c r="Q45" i="2" s="1"/>
  <c r="R45" i="2" s="1"/>
  <c r="D49" i="2"/>
  <c r="Q49" i="2" s="1"/>
  <c r="R49" i="2" s="1"/>
  <c r="R50" i="2"/>
  <c r="F54" i="2"/>
  <c r="Q54" i="2" s="1"/>
  <c r="R54" i="2" s="1"/>
</calcChain>
</file>

<file path=xl/sharedStrings.xml><?xml version="1.0" encoding="utf-8"?>
<sst xmlns="http://schemas.openxmlformats.org/spreadsheetml/2006/main" count="513" uniqueCount="81">
  <si>
    <t>TABLE A  - TPOAM</t>
  </si>
  <si>
    <t xml:space="preserve">JOB CLASSIFICATION AND WAGE STRUCTURE FOR BUDGET YEAR </t>
  </si>
  <si>
    <t>AS OF JULY 1, 2017 - Hourly Based on 40 hour work week</t>
  </si>
  <si>
    <t>SALARY</t>
  </si>
  <si>
    <t>GRADE</t>
  </si>
  <si>
    <t>JOB TITLE</t>
  </si>
  <si>
    <t>MINIMUM</t>
  </si>
  <si>
    <t>6 month</t>
  </si>
  <si>
    <t>1 Year</t>
  </si>
  <si>
    <t>2 Year</t>
  </si>
  <si>
    <t>3 Year</t>
  </si>
  <si>
    <t>4 Year</t>
  </si>
  <si>
    <t>5 Year</t>
  </si>
  <si>
    <t>6 Year</t>
  </si>
  <si>
    <t xml:space="preserve"> 1</t>
  </si>
  <si>
    <t>Receptionist</t>
  </si>
  <si>
    <t>Service Aide</t>
  </si>
  <si>
    <t xml:space="preserve"> 2</t>
  </si>
  <si>
    <t>Administrative Clerk</t>
  </si>
  <si>
    <t>Records Clerk</t>
  </si>
  <si>
    <t>Water Meter Reader</t>
  </si>
  <si>
    <t>Bus Driver</t>
  </si>
  <si>
    <t>Janitor</t>
  </si>
  <si>
    <t xml:space="preserve"> 3</t>
  </si>
  <si>
    <t>Administrative Clerk II</t>
  </si>
  <si>
    <t>Assessing Clerk</t>
  </si>
  <si>
    <t>Finance Clerk</t>
  </si>
  <si>
    <t>Senior Citizen Outreach Provider</t>
  </si>
  <si>
    <t>Senior Janitor</t>
  </si>
  <si>
    <t>Bus Driver / Asst. to Senior</t>
  </si>
  <si>
    <t xml:space="preserve">  Citizen Coordinator</t>
  </si>
  <si>
    <t>Property Clerk</t>
  </si>
  <si>
    <t>Administrative Secretary</t>
  </si>
  <si>
    <t>Finance Clerk II</t>
  </si>
  <si>
    <t>Appraiser I</t>
  </si>
  <si>
    <t>Library Computer Specialist</t>
  </si>
  <si>
    <t>Building Dept. Clerk</t>
  </si>
  <si>
    <t>Meter Reader/Repairer</t>
  </si>
  <si>
    <t>Code Assistance Officer</t>
  </si>
  <si>
    <t>Office Coordinator</t>
  </si>
  <si>
    <r>
      <rPr>
        <sz val="11.5"/>
        <color indexed="12"/>
        <rFont val="Arial MT"/>
      </rPr>
      <t>Animal</t>
    </r>
    <r>
      <rPr>
        <sz val="10"/>
        <color indexed="12"/>
        <rFont val="Arial MT"/>
      </rPr>
      <t xml:space="preserve"> </t>
    </r>
    <r>
      <rPr>
        <sz val="11.5"/>
        <color indexed="12"/>
        <rFont val="Arial MT"/>
      </rPr>
      <t>Control/Code</t>
    </r>
    <r>
      <rPr>
        <sz val="10"/>
        <color indexed="12"/>
        <rFont val="Arial MT"/>
      </rPr>
      <t xml:space="preserve"> </t>
    </r>
    <r>
      <rPr>
        <sz val="11.5"/>
        <color indexed="12"/>
        <rFont val="Arial MT"/>
      </rPr>
      <t>Assist</t>
    </r>
    <r>
      <rPr>
        <sz val="10"/>
        <color indexed="12"/>
        <rFont val="Arial MT"/>
      </rPr>
      <t xml:space="preserve">. </t>
    </r>
    <r>
      <rPr>
        <sz val="11"/>
        <color indexed="12"/>
        <rFont val="Arial MT"/>
      </rPr>
      <t>Officer</t>
    </r>
  </si>
  <si>
    <t>Technical Assistant</t>
  </si>
  <si>
    <t>Building Maintenance Repairer</t>
  </si>
  <si>
    <t>Recreation Coordinator</t>
  </si>
  <si>
    <t>Senior Appraiser</t>
  </si>
  <si>
    <t>Cable/IT Technician</t>
  </si>
  <si>
    <t>Public Service Worker I</t>
  </si>
  <si>
    <t>Public Service Worker II</t>
  </si>
  <si>
    <t>Librarian</t>
  </si>
  <si>
    <t>Engineering Technician</t>
  </si>
  <si>
    <t>Master Mechanic Assistant</t>
  </si>
  <si>
    <t>Code Inspector</t>
  </si>
  <si>
    <t>Mechanical Inspector</t>
  </si>
  <si>
    <t>Rental Inspector</t>
  </si>
  <si>
    <t>Library Section Coordinator</t>
  </si>
  <si>
    <t>Master Mechanic</t>
  </si>
  <si>
    <t>Senior Systems Analyst</t>
  </si>
  <si>
    <t>Building Inspector</t>
  </si>
  <si>
    <t>Engineering Technician II</t>
  </si>
  <si>
    <t>AS OF JULY 1, 2018 - Hourly Based on 40 hour work week</t>
  </si>
  <si>
    <t>Animal Control / Code Assistance</t>
  </si>
  <si>
    <t xml:space="preserve">  Officer</t>
  </si>
  <si>
    <t>AS OF MAY 1, 2023 - Based on a 40 Hour Work Week</t>
  </si>
  <si>
    <t>STEP 1</t>
  </si>
  <si>
    <t>STEP 2</t>
  </si>
  <si>
    <t>STEP 3</t>
  </si>
  <si>
    <t>STEP 4</t>
  </si>
  <si>
    <t>STEP 5</t>
  </si>
  <si>
    <t>Bus Driver (Part-Time)</t>
  </si>
  <si>
    <t>Public Service Worker Assistant</t>
  </si>
  <si>
    <t>Librarian (FULL TIME ONLY)</t>
  </si>
  <si>
    <t>AS OF JULY 1, 2023 - Based on a 40 Hour Work Week</t>
  </si>
  <si>
    <t>Building Maintenance Technician</t>
  </si>
  <si>
    <t>AS OF JULY 1, 2024 - Based on a 40 Hour Work Week</t>
  </si>
  <si>
    <t>Mechanic</t>
  </si>
  <si>
    <t>STEP 6</t>
  </si>
  <si>
    <t>1% m</t>
  </si>
  <si>
    <t>Recreation Specialist (new)</t>
  </si>
  <si>
    <t>AS OF JULY 1, 2027 - Based on a 40 Hour Work Week</t>
  </si>
  <si>
    <t>AS OF JULY 1, 2026 - Based on a 40 Hour Work Week</t>
  </si>
  <si>
    <t>AS OF JULY 1, 2025 - Based on a 40 Hour Work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</si>
</sst>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164" formatCode="0.00_)"/>
    <numFmt numFmtId="165" formatCode="0.0000_)"/>
    <numFmt numFmtId="166" formatCode="_(* #,##0.0000_);_(* \(#,##0.0000\);_(* &quot;-&quot;????_);_(@_)"/>
    <numFmt numFmtId="167" formatCode="#,##0.0000_);\(#,##0.0000\)"/>
    <numFmt numFmtId="168" formatCode="_(* #,##0.00000_);_(* \(#,##0.00000\);_(* &quot;-&quot;????_);_(@_)"/>
    <numFmt numFmtId="169" formatCode="#,##0.0000"/>
    <numFmt numFmtId="170" formatCode="0.000"/>
    <numFmt numFmtId="171" formatCode="0.0000"/>
  </numFmts>
  <fonts count="13">
    <font>
      <sz val="12"/>
      <name val="Arial MT"/>
    </font>
    <font>
      <sz val="12"/>
      <color indexed="8"/>
      <name val="Arial MT"/>
    </font>
    <font>
      <sz val="12"/>
      <color indexed="12"/>
      <name val="Arial MT"/>
    </font>
    <font>
      <sz val="8"/>
      <name val="Arial MT"/>
    </font>
    <font>
      <b/>
      <u/>
      <sz val="12"/>
      <name val="Arial MT"/>
    </font>
    <font>
      <sz val="10"/>
      <color indexed="12"/>
      <name val="Arial MT"/>
    </font>
    <font>
      <sz val="11"/>
      <color indexed="12"/>
      <name val="Arial MT"/>
    </font>
    <font>
      <sz val="11.5"/>
      <color indexed="12"/>
      <name val="Arial MT"/>
    </font>
    <font>
      <sz val="12"/>
      <color indexed="8"/>
      <name val="Arial"/>
      <family val="2"/>
    </font>
    <font>
      <sz val="12"/>
      <color indexed="12"/>
      <name val="Arial"/>
      <family val="2"/>
    </font>
    <font>
      <sz val="12"/>
      <color rgb="FF0000FF"/>
      <name val="Arial"/>
      <family val="2"/>
    </font>
    <font>
      <sz val="12"/>
      <name val="Arial"/>
      <family val="2"/>
    </font>
    <font>
      <sz val="12"/>
      <name val="Arial MT"/>
    </font>
  </fonts>
  <fills count="3">
    <fill>
      <patternFill patternType="none"/>
    </fill>
    <fill>
      <patternFill patternType="gray125"/>
    </fill>
    <fill>
      <patternFill patternType="gray125">
        <fgColor indexed="8"/>
        <bgColor indexed="22"/>
      </patternFill>
    </fill>
  </fills>
  <borders count="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2">
    <xf numFmtId="37" fontId="0" fillId="0" borderId="0"/>
    <xf numFmtId="9" fontId="12" fillId="0" borderId="0" applyFont="0" applyFill="0" applyBorder="0" applyAlignment="0" applyProtection="0"/>
  </cellStyleXfs>
  <cellXfs count="62">
    <xf numFmtId="37" fontId="0" fillId="0" borderId="0" xfId="0"/>
    <xf numFmtId="37" fontId="1" fillId="0" borderId="0" xfId="0" applyFont="1" applyAlignment="1">
      <alignment horizontal="centerContinuous"/>
    </xf>
    <xf numFmtId="37" fontId="2" fillId="0" borderId="0" xfId="0" applyFont="1" applyAlignment="1" applyProtection="1">
      <alignment horizontal="centerContinuous"/>
      <protection locked="0"/>
    </xf>
    <xf numFmtId="37" fontId="1" fillId="2" borderId="1" xfId="0" applyFont="1" applyFill="1" applyBorder="1" applyAlignment="1">
      <alignment horizontal="center"/>
    </xf>
    <xf numFmtId="37" fontId="1" fillId="2" borderId="2" xfId="0" applyFont="1" applyFill="1" applyBorder="1" applyAlignment="1">
      <alignment horizontal="center"/>
    </xf>
    <xf numFmtId="37" fontId="1" fillId="2" borderId="3" xfId="0" applyFont="1" applyFill="1" applyBorder="1" applyAlignment="1">
      <alignment horizontal="center"/>
    </xf>
    <xf numFmtId="37" fontId="1" fillId="2" borderId="4" xfId="0" applyFont="1" applyFill="1" applyBorder="1" applyAlignment="1">
      <alignment horizontal="center"/>
    </xf>
    <xf numFmtId="37" fontId="1" fillId="2" borderId="5" xfId="0" applyFont="1" applyFill="1" applyBorder="1" applyAlignment="1">
      <alignment horizontal="center"/>
    </xf>
    <xf numFmtId="37" fontId="1" fillId="2" borderId="6" xfId="0" applyFont="1" applyFill="1" applyBorder="1" applyAlignment="1">
      <alignment horizontal="center"/>
    </xf>
    <xf numFmtId="37" fontId="2" fillId="0" borderId="0" xfId="0" applyFont="1" applyAlignment="1" applyProtection="1">
      <alignment horizontal="center"/>
      <protection locked="0"/>
    </xf>
    <xf numFmtId="37" fontId="2" fillId="0" borderId="0" xfId="0" applyFont="1" applyProtection="1">
      <protection locked="0"/>
    </xf>
    <xf numFmtId="37" fontId="1" fillId="0" borderId="0" xfId="0" applyFont="1"/>
    <xf numFmtId="164" fontId="2" fillId="0" borderId="0" xfId="0" applyNumberFormat="1" applyFont="1" applyProtection="1">
      <protection locked="0"/>
    </xf>
    <xf numFmtId="7" fontId="2" fillId="0" borderId="0" xfId="0" applyNumberFormat="1" applyFont="1" applyProtection="1">
      <protection locked="0"/>
    </xf>
    <xf numFmtId="37" fontId="1" fillId="0" borderId="0" xfId="0" applyFont="1" applyAlignment="1">
      <alignment horizontal="center"/>
    </xf>
    <xf numFmtId="165" fontId="2" fillId="0" borderId="0" xfId="0" applyNumberFormat="1" applyFont="1" applyProtection="1">
      <protection locked="0"/>
    </xf>
    <xf numFmtId="37" fontId="1" fillId="0" borderId="0" xfId="0" applyFont="1" applyAlignment="1">
      <alignment horizontal="centerContinuous" vertical="top"/>
    </xf>
    <xf numFmtId="37" fontId="2" fillId="0" borderId="0" xfId="0" applyFont="1" applyAlignment="1" applyProtection="1">
      <alignment horizontal="centerContinuous" vertical="top"/>
      <protection locked="0"/>
    </xf>
    <xf numFmtId="166" fontId="2" fillId="0" borderId="0" xfId="0" applyNumberFormat="1" applyFont="1" applyProtection="1">
      <protection locked="0"/>
    </xf>
    <xf numFmtId="167" fontId="0" fillId="0" borderId="0" xfId="0" applyNumberFormat="1"/>
    <xf numFmtId="39" fontId="2" fillId="0" borderId="0" xfId="0" applyNumberFormat="1" applyFont="1" applyProtection="1">
      <protection locked="0"/>
    </xf>
    <xf numFmtId="168" fontId="1" fillId="0" borderId="0" xfId="0" applyNumberFormat="1" applyFont="1"/>
    <xf numFmtId="166" fontId="0" fillId="0" borderId="0" xfId="0" applyNumberFormat="1"/>
    <xf numFmtId="39" fontId="0" fillId="0" borderId="0" xfId="0" applyNumberFormat="1"/>
    <xf numFmtId="0" fontId="0" fillId="0" borderId="0" xfId="0" applyNumberFormat="1"/>
    <xf numFmtId="169" fontId="0" fillId="0" borderId="0" xfId="0" applyNumberFormat="1"/>
    <xf numFmtId="170" fontId="0" fillId="0" borderId="0" xfId="0" applyNumberFormat="1"/>
    <xf numFmtId="14" fontId="4" fillId="0" borderId="0" xfId="0" applyNumberFormat="1" applyFont="1"/>
    <xf numFmtId="0" fontId="4" fillId="0" borderId="0" xfId="0" applyNumberFormat="1" applyFont="1"/>
    <xf numFmtId="37" fontId="6" fillId="0" borderId="0" xfId="0" applyFont="1" applyProtection="1">
      <protection locked="0"/>
    </xf>
    <xf numFmtId="165" fontId="2" fillId="0" borderId="0" xfId="0" applyNumberFormat="1" applyFont="1" applyAlignment="1" applyProtection="1">
      <alignment horizontal="right"/>
      <protection locked="0"/>
    </xf>
    <xf numFmtId="37" fontId="8" fillId="0" borderId="0" xfId="0" applyFont="1" applyAlignment="1">
      <alignment horizontal="centerContinuous"/>
    </xf>
    <xf numFmtId="37" fontId="9" fillId="0" borderId="0" xfId="0" applyFont="1" applyAlignment="1" applyProtection="1">
      <alignment horizontal="centerContinuous"/>
      <protection locked="0"/>
    </xf>
    <xf numFmtId="37" fontId="8" fillId="2" borderId="1" xfId="0" applyFont="1" applyFill="1" applyBorder="1" applyAlignment="1">
      <alignment horizontal="center"/>
    </xf>
    <xf numFmtId="37" fontId="8" fillId="2" borderId="2" xfId="0" applyFont="1" applyFill="1" applyBorder="1" applyAlignment="1">
      <alignment horizontal="center"/>
    </xf>
    <xf numFmtId="37" fontId="8" fillId="2" borderId="3" xfId="0" applyFont="1" applyFill="1" applyBorder="1" applyAlignment="1">
      <alignment horizontal="center"/>
    </xf>
    <xf numFmtId="37" fontId="8" fillId="2" borderId="4" xfId="0" applyFont="1" applyFill="1" applyBorder="1" applyAlignment="1">
      <alignment horizontal="center"/>
    </xf>
    <xf numFmtId="37" fontId="8" fillId="2" borderId="5" xfId="0" applyFont="1" applyFill="1" applyBorder="1" applyAlignment="1">
      <alignment horizontal="center"/>
    </xf>
    <xf numFmtId="37" fontId="8" fillId="2" borderId="6" xfId="0" applyFont="1" applyFill="1" applyBorder="1" applyAlignment="1">
      <alignment horizontal="center"/>
    </xf>
    <xf numFmtId="37" fontId="8" fillId="0" borderId="0" xfId="0" applyFont="1"/>
    <xf numFmtId="37" fontId="9" fillId="0" borderId="0" xfId="0" applyFont="1" applyAlignment="1" applyProtection="1">
      <alignment horizontal="center"/>
      <protection locked="0"/>
    </xf>
    <xf numFmtId="37" fontId="9" fillId="0" borderId="0" xfId="0" applyFont="1" applyProtection="1">
      <protection locked="0"/>
    </xf>
    <xf numFmtId="167" fontId="9" fillId="0" borderId="0" xfId="0" applyNumberFormat="1" applyFont="1" applyProtection="1">
      <protection locked="0"/>
    </xf>
    <xf numFmtId="166" fontId="9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37" fontId="11" fillId="0" borderId="0" xfId="0" applyFont="1"/>
    <xf numFmtId="7" fontId="9" fillId="0" borderId="0" xfId="0" applyNumberFormat="1" applyFont="1" applyProtection="1">
      <protection locked="0"/>
    </xf>
    <xf numFmtId="167" fontId="10" fillId="0" borderId="0" xfId="0" applyNumberFormat="1" applyFont="1"/>
    <xf numFmtId="165" fontId="10" fillId="0" borderId="0" xfId="0" applyNumberFormat="1" applyFont="1" applyProtection="1">
      <protection locked="0"/>
    </xf>
    <xf numFmtId="37" fontId="10" fillId="0" borderId="0" xfId="0" applyFont="1" applyAlignment="1">
      <alignment horizontal="center"/>
    </xf>
    <xf numFmtId="165" fontId="9" fillId="0" borderId="0" xfId="0" applyNumberFormat="1" applyFont="1" applyProtection="1">
      <protection locked="0"/>
    </xf>
    <xf numFmtId="171" fontId="9" fillId="0" borderId="0" xfId="0" applyNumberFormat="1" applyFont="1" applyProtection="1">
      <protection locked="0"/>
    </xf>
    <xf numFmtId="171" fontId="10" fillId="0" borderId="0" xfId="0" applyNumberFormat="1" applyFont="1"/>
    <xf numFmtId="171" fontId="11" fillId="0" borderId="0" xfId="0" applyNumberFormat="1" applyFont="1"/>
    <xf numFmtId="171" fontId="8" fillId="0" borderId="0" xfId="0" applyNumberFormat="1" applyFont="1"/>
    <xf numFmtId="37" fontId="8" fillId="0" borderId="0" xfId="0" applyFont="1" applyAlignment="1">
      <alignment horizontal="center"/>
    </xf>
    <xf numFmtId="171" fontId="9" fillId="0" borderId="0" xfId="0" applyNumberFormat="1" applyFont="1" applyAlignment="1" applyProtection="1">
      <alignment horizontal="right"/>
      <protection locked="0"/>
    </xf>
    <xf numFmtId="166" fontId="11" fillId="0" borderId="0" xfId="0" applyNumberFormat="1" applyFont="1"/>
    <xf numFmtId="167" fontId="11" fillId="0" borderId="0" xfId="0" applyNumberFormat="1" applyFont="1"/>
    <xf numFmtId="37" fontId="10" fillId="0" borderId="0" xfId="0" applyFont="1"/>
    <xf numFmtId="9" fontId="11" fillId="0" borderId="0" xfId="1" applyFont="1"/>
    <xf numFmtId="37" fontId="10" fillId="0" borderId="5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3"/>
  <sheetViews>
    <sheetView topLeftCell="A41" zoomScale="75" zoomScaleNormal="75" workbookViewId="0">
      <selection activeCell="B40" sqref="B40"/>
    </sheetView>
  </sheetViews>
  <sheetFormatPr defaultRowHeight="15"/>
  <cols>
    <col min="1" max="1" width="7.88671875" bestFit="1" customWidth="1"/>
    <col min="2" max="2" width="27.44140625" bestFit="1" customWidth="1"/>
    <col min="3" max="3" width="11.77734375" bestFit="1" customWidth="1"/>
    <col min="4" max="4" width="11" customWidth="1"/>
    <col min="5" max="8" width="11" bestFit="1" customWidth="1"/>
    <col min="9" max="10" width="10.88671875" bestFit="1" customWidth="1"/>
    <col min="15" max="15" width="11.44140625" style="19" bestFit="1" customWidth="1"/>
    <col min="16" max="17" width="12.88671875" style="19" bestFit="1" customWidth="1"/>
  </cols>
  <sheetData>
    <row r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8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8" ht="15.75" thickBot="1">
      <c r="A3" s="17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8">
      <c r="A4" s="3" t="s">
        <v>3</v>
      </c>
      <c r="B4" s="4"/>
      <c r="C4" s="4"/>
      <c r="D4" s="4"/>
      <c r="E4" s="4"/>
      <c r="F4" s="4"/>
      <c r="G4" s="4"/>
      <c r="H4" s="4"/>
      <c r="I4" s="4"/>
      <c r="J4" s="5"/>
      <c r="O4" s="19">
        <v>1.0149999999999999</v>
      </c>
    </row>
    <row r="5" spans="1:18" ht="15.75" thickBot="1">
      <c r="A5" s="6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8" t="s">
        <v>13</v>
      </c>
    </row>
    <row r="6" spans="1:18" ht="27.75" customHeight="1">
      <c r="A6" s="9" t="s">
        <v>14</v>
      </c>
      <c r="B6" s="10" t="s">
        <v>15</v>
      </c>
      <c r="C6" s="10">
        <f>ROUND(+C7*2080,2)</f>
        <v>27042.87</v>
      </c>
      <c r="D6" s="10">
        <f t="shared" ref="D6:H6" si="0">ROUND(+D7*2080,2)</f>
        <v>28426.01</v>
      </c>
      <c r="E6" s="10">
        <f t="shared" si="0"/>
        <v>29835.49</v>
      </c>
      <c r="F6" s="10">
        <f t="shared" si="0"/>
        <v>31219.91</v>
      </c>
      <c r="G6" s="10">
        <f t="shared" si="0"/>
        <v>32601.97</v>
      </c>
      <c r="H6" s="10">
        <f t="shared" si="0"/>
        <v>32601.97</v>
      </c>
      <c r="I6" s="11"/>
      <c r="J6" s="11"/>
      <c r="P6" s="19">
        <f>+P7*2080</f>
        <v>172975.47175999999</v>
      </c>
      <c r="Q6" s="19">
        <f>SUM(C6:H6)</f>
        <v>181728.22</v>
      </c>
      <c r="R6">
        <f>+P6-Q6</f>
        <v>-8752.7482400000154</v>
      </c>
    </row>
    <row r="7" spans="1:18">
      <c r="A7" s="11"/>
      <c r="B7" s="11" t="s">
        <v>16</v>
      </c>
      <c r="C7" s="18">
        <f>12.6227+(12.6227*0.03)</f>
        <v>13.001381</v>
      </c>
      <c r="D7" s="18">
        <f>13.2683+(13.2683*0.03)</f>
        <v>13.666349</v>
      </c>
      <c r="E7" s="18">
        <f>13.9262+(13.9262*0.03)</f>
        <v>14.343985999999999</v>
      </c>
      <c r="F7" s="18">
        <f>14.5724+(14.5724*0.03)</f>
        <v>15.009572</v>
      </c>
      <c r="G7" s="18">
        <f>15.2175+(15.2175*0.03)</f>
        <v>15.674024999999999</v>
      </c>
      <c r="H7" s="18">
        <f>15.2175+(15.2175*0.03)</f>
        <v>15.674024999999999</v>
      </c>
      <c r="I7" s="12"/>
      <c r="J7" s="12"/>
      <c r="O7" s="19">
        <f>12.1923+12.8159+13.4514+14.0755+14.6986+14.6986</f>
        <v>81.932299999999998</v>
      </c>
      <c r="P7" s="19">
        <f>+O7*1.015</f>
        <v>83.161284499999994</v>
      </c>
      <c r="Q7" s="19">
        <f>SUM(C7:H7)</f>
        <v>87.369337999999999</v>
      </c>
      <c r="R7">
        <f>+P7-Q7</f>
        <v>-4.2080535000000054</v>
      </c>
    </row>
    <row r="8" spans="1:18">
      <c r="A8" s="11"/>
      <c r="B8" s="11"/>
      <c r="C8" s="11"/>
      <c r="D8" s="11"/>
      <c r="E8" s="11"/>
      <c r="F8" s="11"/>
      <c r="G8" s="11"/>
      <c r="H8" s="11"/>
      <c r="I8" s="11"/>
      <c r="J8" s="11"/>
    </row>
    <row r="9" spans="1:18">
      <c r="A9" s="9" t="s">
        <v>17</v>
      </c>
      <c r="B9" s="10" t="s">
        <v>18</v>
      </c>
      <c r="C9" s="10">
        <f>+C10*2080</f>
        <v>28164.633120000002</v>
      </c>
      <c r="D9" s="10">
        <f t="shared" ref="D9:H9" si="1">+D10*2080</f>
        <v>29601.112320000004</v>
      </c>
      <c r="E9" s="10">
        <f t="shared" si="1"/>
        <v>31063.086080000001</v>
      </c>
      <c r="F9" s="10">
        <f t="shared" si="1"/>
        <v>32603.900160000001</v>
      </c>
      <c r="G9" s="10">
        <f t="shared" si="1"/>
        <v>34118.148479999996</v>
      </c>
      <c r="H9" s="10">
        <f t="shared" si="1"/>
        <v>34118.148479999996</v>
      </c>
      <c r="I9" s="11"/>
      <c r="J9" s="11"/>
      <c r="P9" s="19">
        <f>+P10*2080</f>
        <v>180533.99</v>
      </c>
      <c r="Q9" s="19">
        <f>SUM(C9:H9)</f>
        <v>189669.02864</v>
      </c>
      <c r="R9">
        <f>+P9-Q9</f>
        <v>-9135.0386400000134</v>
      </c>
    </row>
    <row r="10" spans="1:18">
      <c r="A10" s="11"/>
      <c r="B10" s="10" t="s">
        <v>19</v>
      </c>
      <c r="C10" s="18">
        <f>13.1463+(13.1463*0.03)</f>
        <v>13.540689</v>
      </c>
      <c r="D10" s="18">
        <f>13.8168+(13.8168*0.03)</f>
        <v>14.231304000000002</v>
      </c>
      <c r="E10" s="18">
        <f>14.4992+(14.4992*0.03)</f>
        <v>14.934176000000001</v>
      </c>
      <c r="F10" s="18">
        <f>15.2184+(15.2184*0.03)</f>
        <v>15.674952000000001</v>
      </c>
      <c r="G10" s="18">
        <f>15.9252+(15.9252*0.03)</f>
        <v>16.402956</v>
      </c>
      <c r="H10" s="18">
        <f>15.9252+(15.9252*0.03)</f>
        <v>16.402956</v>
      </c>
      <c r="I10" s="12"/>
      <c r="J10" s="12"/>
      <c r="O10" s="19">
        <f>12.6981+13.3457+14.0048+14.6995+15.3822+15.3822</f>
        <v>85.512500000000003</v>
      </c>
      <c r="P10" s="19">
        <f>+O10*1.015</f>
        <v>86.795187499999997</v>
      </c>
      <c r="Q10" s="19">
        <f>SUM(C10:H10)</f>
        <v>91.187033000000014</v>
      </c>
      <c r="R10">
        <f>+P10-Q10</f>
        <v>-4.3918455000000165</v>
      </c>
    </row>
    <row r="11" spans="1:18">
      <c r="A11" s="11"/>
      <c r="B11" s="11" t="s">
        <v>20</v>
      </c>
      <c r="C11" s="11"/>
      <c r="D11" s="11"/>
      <c r="E11" s="11"/>
      <c r="F11" s="11"/>
      <c r="G11" s="11"/>
      <c r="H11" s="11"/>
      <c r="I11" s="11"/>
      <c r="J11" s="11"/>
    </row>
    <row r="12" spans="1:18">
      <c r="A12" s="11"/>
      <c r="B12" s="10" t="s">
        <v>21</v>
      </c>
      <c r="C12" s="11"/>
      <c r="D12" s="11"/>
      <c r="E12" s="11"/>
      <c r="F12" s="11"/>
      <c r="G12" s="11"/>
      <c r="H12" s="11"/>
      <c r="I12" s="11"/>
      <c r="J12" s="11"/>
    </row>
    <row r="13" spans="1:18">
      <c r="A13" s="11"/>
      <c r="B13" s="10" t="s">
        <v>22</v>
      </c>
      <c r="C13" s="11"/>
      <c r="D13" s="11"/>
      <c r="E13" s="11"/>
      <c r="F13" s="11"/>
      <c r="G13" s="11"/>
      <c r="H13" s="11"/>
      <c r="I13" s="11"/>
      <c r="J13" s="11"/>
    </row>
    <row r="14" spans="1:18">
      <c r="A14" s="11"/>
      <c r="C14" s="11"/>
      <c r="D14" s="11"/>
      <c r="E14" s="13"/>
      <c r="F14" s="13"/>
      <c r="G14" s="11"/>
      <c r="H14" s="11"/>
      <c r="I14" s="11"/>
      <c r="J14" s="11"/>
    </row>
    <row r="15" spans="1:18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spans="1:18">
      <c r="A16" s="9" t="s">
        <v>23</v>
      </c>
      <c r="B16" s="10" t="s">
        <v>24</v>
      </c>
      <c r="C16" s="10">
        <f>+C17*2080</f>
        <v>30618.323840000005</v>
      </c>
      <c r="D16" s="10">
        <f t="shared" ref="D16:H16" si="2">+D17*2080</f>
        <v>32133.643359999998</v>
      </c>
      <c r="E16" s="10">
        <f t="shared" si="2"/>
        <v>33751.369599999998</v>
      </c>
      <c r="F16" s="10">
        <f t="shared" si="2"/>
        <v>35422.227359999997</v>
      </c>
      <c r="G16" s="10">
        <f t="shared" si="2"/>
        <v>37223.34304</v>
      </c>
      <c r="H16" s="10">
        <f t="shared" si="2"/>
        <v>37301.326400000005</v>
      </c>
      <c r="I16" s="11"/>
      <c r="J16" s="11"/>
      <c r="P16" s="19">
        <f>+P17*2080</f>
        <v>196506.90695999996</v>
      </c>
      <c r="Q16" s="19">
        <f>SUM(C16:H16)</f>
        <v>206450.23359999998</v>
      </c>
      <c r="R16">
        <f>+P16-Q16</f>
        <v>-9943.3266400000139</v>
      </c>
    </row>
    <row r="17" spans="1:18">
      <c r="A17" s="11"/>
      <c r="B17" s="10" t="s">
        <v>25</v>
      </c>
      <c r="C17" s="18">
        <f>14.2916+(14.2916*0.03)</f>
        <v>14.720348000000001</v>
      </c>
      <c r="D17" s="18">
        <f>14.9989+(14.9989*0.03)</f>
        <v>15.448867</v>
      </c>
      <c r="E17" s="18">
        <f>15.754+(15.754*0.03)</f>
        <v>16.22662</v>
      </c>
      <c r="F17" s="18">
        <f>16.5339+(16.5339*0.03)</f>
        <v>17.029916999999998</v>
      </c>
      <c r="G17" s="18">
        <f>17.3746+(17.3746*0.03)</f>
        <v>17.895838000000001</v>
      </c>
      <c r="H17" s="18">
        <f>17.411+(17.411*0.03)</f>
        <v>17.933330000000002</v>
      </c>
      <c r="I17" s="12"/>
      <c r="J17" s="12"/>
      <c r="O17" s="19">
        <f>13.8043+14.4875+15.2168+15.9702+16.7822+16.8173</f>
        <v>93.078299999999999</v>
      </c>
      <c r="P17" s="19">
        <f>+O17*1.015</f>
        <v>94.474474499999985</v>
      </c>
      <c r="Q17" s="19">
        <f>SUM(C17:H17)</f>
        <v>99.254919999999998</v>
      </c>
      <c r="R17">
        <f>+P17-Q17</f>
        <v>-4.7804455000000132</v>
      </c>
    </row>
    <row r="18" spans="1:18">
      <c r="A18" s="11"/>
      <c r="B18" s="10" t="s">
        <v>26</v>
      </c>
      <c r="C18" s="11"/>
      <c r="D18" s="11"/>
      <c r="E18" s="11"/>
      <c r="F18" s="11"/>
      <c r="G18" s="11"/>
      <c r="H18" s="11"/>
      <c r="I18" s="11"/>
      <c r="J18" s="11"/>
    </row>
    <row r="19" spans="1:18">
      <c r="A19" s="11"/>
      <c r="B19" s="10" t="s">
        <v>27</v>
      </c>
      <c r="C19" s="11"/>
      <c r="D19" s="11"/>
      <c r="E19" s="11"/>
      <c r="F19" s="11"/>
      <c r="G19" s="11"/>
      <c r="H19" s="11"/>
      <c r="I19" s="11"/>
      <c r="J19" s="11"/>
    </row>
    <row r="20" spans="1:18">
      <c r="A20" s="9"/>
      <c r="B20" s="11" t="s">
        <v>28</v>
      </c>
      <c r="C20" s="10"/>
      <c r="D20" s="11"/>
      <c r="E20" s="11"/>
      <c r="F20" s="11"/>
      <c r="G20" s="11"/>
      <c r="H20" s="11"/>
      <c r="I20" s="11"/>
      <c r="J20" s="11"/>
    </row>
    <row r="21" spans="1:18">
      <c r="A21" s="11"/>
      <c r="B21" s="10" t="s">
        <v>29</v>
      </c>
      <c r="C21" s="12"/>
      <c r="D21" s="12"/>
      <c r="E21" s="12"/>
      <c r="F21" s="12"/>
      <c r="G21" s="12"/>
      <c r="H21" s="12"/>
      <c r="I21" s="12"/>
      <c r="J21" s="12"/>
    </row>
    <row r="22" spans="1:18">
      <c r="B22" s="10" t="s">
        <v>30</v>
      </c>
      <c r="C22" s="11"/>
      <c r="D22" s="11"/>
      <c r="E22" s="11"/>
      <c r="F22" s="11"/>
      <c r="G22" s="11"/>
      <c r="H22" s="11"/>
      <c r="I22" s="11"/>
      <c r="J22" s="11"/>
    </row>
    <row r="23" spans="1:18">
      <c r="A23" s="11"/>
      <c r="C23" s="11"/>
      <c r="D23" s="11"/>
      <c r="E23" s="11"/>
      <c r="F23" s="11"/>
      <c r="G23" s="11"/>
      <c r="H23" s="11"/>
      <c r="I23" s="11"/>
      <c r="J23" s="11"/>
    </row>
    <row r="24" spans="1:18">
      <c r="A24" s="9">
        <v>4</v>
      </c>
      <c r="B24" s="10" t="s">
        <v>31</v>
      </c>
      <c r="C24" s="10">
        <f>+C25*2080</f>
        <v>31950.253919999999</v>
      </c>
      <c r="D24" s="10">
        <f t="shared" ref="D24:H24" si="3">+D25*2080</f>
        <v>33543.342559999997</v>
      </c>
      <c r="E24" s="10">
        <f t="shared" si="3"/>
        <v>35213.343359999999</v>
      </c>
      <c r="F24" s="10">
        <f t="shared" si="3"/>
        <v>36988.750240000001</v>
      </c>
      <c r="G24" s="10">
        <f t="shared" si="3"/>
        <v>38815.574719999997</v>
      </c>
      <c r="H24" s="10">
        <f t="shared" si="3"/>
        <v>38997.892959999997</v>
      </c>
      <c r="I24" s="11"/>
      <c r="J24" s="11"/>
      <c r="P24" s="19">
        <f>+P25*2080</f>
        <v>205129.46999999997</v>
      </c>
      <c r="Q24" s="19">
        <f>SUM(C24:H24)</f>
        <v>215509.15776</v>
      </c>
      <c r="R24">
        <f>+P24-Q24</f>
        <v>-10379.68776000003</v>
      </c>
    </row>
    <row r="25" spans="1:18">
      <c r="A25" s="11"/>
      <c r="B25" s="11"/>
      <c r="C25" s="18">
        <f>14.9133+(14.9133*0.03)</f>
        <v>15.360699</v>
      </c>
      <c r="D25" s="18">
        <f>15.6569+(15.6569*0.03)</f>
        <v>16.126607</v>
      </c>
      <c r="E25" s="18">
        <f>16.4364+(16.4364*0.03)</f>
        <v>16.929492</v>
      </c>
      <c r="F25" s="18">
        <f>17.2651+(17.2651*0.03)</f>
        <v>17.783052999999999</v>
      </c>
      <c r="G25" s="18">
        <f>18.1178+(18.1178*0.03)</f>
        <v>18.661334</v>
      </c>
      <c r="H25" s="18">
        <f>18.2029+(18.2029*0.03)</f>
        <v>18.748987</v>
      </c>
      <c r="I25" s="11"/>
      <c r="J25" s="11"/>
      <c r="O25" s="19">
        <f>14.4048+15.1231+15.876+16.6764+17.5+17.5822</f>
        <v>97.162499999999994</v>
      </c>
      <c r="P25" s="19">
        <f>+O25*1.015</f>
        <v>98.619937499999992</v>
      </c>
      <c r="Q25" s="19">
        <f>SUM(C25:H25)</f>
        <v>103.61017199999999</v>
      </c>
      <c r="R25">
        <f>+P25-Q25</f>
        <v>-4.9902344999999997</v>
      </c>
    </row>
    <row r="26" spans="1:18">
      <c r="A26" s="11"/>
      <c r="B26" s="11"/>
      <c r="C26" s="11"/>
      <c r="D26" s="11"/>
      <c r="E26" s="11"/>
      <c r="F26" s="11"/>
      <c r="G26" s="11"/>
      <c r="H26" s="11"/>
      <c r="I26" s="12"/>
      <c r="J26" s="12"/>
    </row>
    <row r="27" spans="1:18">
      <c r="A27" s="9">
        <v>5</v>
      </c>
      <c r="B27" s="10" t="s">
        <v>32</v>
      </c>
      <c r="C27" s="10">
        <f>+C28*2080</f>
        <v>33333.387359999993</v>
      </c>
      <c r="D27" s="10">
        <f t="shared" ref="D27:H27" si="4">+D28*2080</f>
        <v>35031.025119999991</v>
      </c>
      <c r="E27" s="10">
        <f t="shared" si="4"/>
        <v>36779.866240000003</v>
      </c>
      <c r="F27" s="10">
        <f t="shared" si="4"/>
        <v>38607.547680000003</v>
      </c>
      <c r="G27" s="10">
        <f t="shared" si="4"/>
        <v>40537.635840000003</v>
      </c>
      <c r="H27" s="10">
        <f t="shared" si="4"/>
        <v>40825.574400000005</v>
      </c>
      <c r="I27" s="11"/>
      <c r="J27" s="11"/>
      <c r="P27" s="19">
        <f>+P28*2080</f>
        <v>214272.86607999995</v>
      </c>
      <c r="Q27" s="19">
        <f>SUM(C27:H27)</f>
        <v>225115.03664000001</v>
      </c>
      <c r="R27">
        <f>+P27-Q27</f>
        <v>-10842.170560000057</v>
      </c>
    </row>
    <row r="28" spans="1:18">
      <c r="A28" s="11"/>
      <c r="B28" s="10" t="s">
        <v>33</v>
      </c>
      <c r="C28" s="18">
        <f>15.5589+(15.5589*0.03)</f>
        <v>16.025666999999999</v>
      </c>
      <c r="D28" s="18">
        <f>16.3513+(16.3513*0.03)</f>
        <v>16.841838999999997</v>
      </c>
      <c r="E28" s="18">
        <f>17.1676+(17.1676*0.03)</f>
        <v>17.682628000000001</v>
      </c>
      <c r="F28" s="18">
        <f>18.0207+(18.0207*0.03)</f>
        <v>18.561321000000003</v>
      </c>
      <c r="G28" s="18">
        <f>18.9216+(18.9216*0.03)</f>
        <v>19.489248</v>
      </c>
      <c r="H28" s="18">
        <f>19.056+(19.056*0.03)</f>
        <v>19.627680000000002</v>
      </c>
      <c r="I28" s="11"/>
      <c r="J28" s="11"/>
      <c r="O28" s="19">
        <f>15.0284+15.7938+16.5822+17.4063+18.2764+18.4063</f>
        <v>101.49339999999999</v>
      </c>
      <c r="P28" s="19">
        <f>+O28*1.015</f>
        <v>103.01580099999998</v>
      </c>
      <c r="Q28" s="19">
        <f>SUM(C28:H28)</f>
        <v>108.22838299999999</v>
      </c>
      <c r="R28">
        <f>+P28-Q28</f>
        <v>-5.2125820000000118</v>
      </c>
    </row>
    <row r="29" spans="1:18">
      <c r="A29" s="11"/>
      <c r="B29" s="10" t="s">
        <v>34</v>
      </c>
      <c r="C29" s="11"/>
      <c r="D29" s="11"/>
      <c r="E29" s="11"/>
      <c r="F29" s="11"/>
      <c r="G29" s="11"/>
      <c r="H29" s="11"/>
      <c r="I29" s="12"/>
      <c r="J29" s="12"/>
    </row>
    <row r="30" spans="1:18">
      <c r="A30" s="11"/>
      <c r="B30" s="10" t="s">
        <v>35</v>
      </c>
      <c r="C30" s="11"/>
      <c r="D30" s="11"/>
      <c r="E30" s="11"/>
      <c r="F30" s="11"/>
      <c r="G30" s="11"/>
      <c r="H30" s="11"/>
      <c r="I30" s="11"/>
      <c r="J30" s="11"/>
    </row>
    <row r="31" spans="1:18">
      <c r="A31" s="11"/>
      <c r="B31" s="10" t="s">
        <v>36</v>
      </c>
      <c r="C31" s="11"/>
      <c r="D31" s="11"/>
      <c r="E31" s="11"/>
      <c r="F31" s="11"/>
      <c r="G31" s="11"/>
      <c r="H31" s="11"/>
      <c r="I31" s="11"/>
      <c r="J31" s="11"/>
    </row>
    <row r="32" spans="1:18">
      <c r="A32" s="11"/>
      <c r="B32" s="10"/>
      <c r="C32" s="11"/>
      <c r="D32" s="11"/>
      <c r="E32" s="11"/>
      <c r="F32" s="11"/>
      <c r="G32" s="11"/>
      <c r="H32" s="11"/>
      <c r="I32" s="11"/>
      <c r="J32" s="11"/>
    </row>
    <row r="33" spans="1:18">
      <c r="A33" s="9">
        <v>6</v>
      </c>
      <c r="B33" s="10" t="s">
        <v>37</v>
      </c>
      <c r="C33" s="10">
        <f>+C34*2080</f>
        <v>33525.346400000002</v>
      </c>
      <c r="D33" s="10">
        <f t="shared" ref="D33:H33" si="5">+D34*2080</f>
        <v>35211.200960000002</v>
      </c>
      <c r="E33" s="10">
        <f t="shared" si="5"/>
        <v>36949.544320000001</v>
      </c>
      <c r="F33" s="10">
        <f t="shared" si="5"/>
        <v>38823.073120000001</v>
      </c>
      <c r="G33" s="10">
        <f t="shared" si="5"/>
        <v>40749.733440000004</v>
      </c>
      <c r="H33" s="10">
        <f t="shared" si="5"/>
        <v>42783.29952</v>
      </c>
      <c r="I33" s="11"/>
      <c r="J33" s="11"/>
      <c r="P33" s="19">
        <f>+P34*2080</f>
        <v>217058.80559999999</v>
      </c>
      <c r="Q33" s="19">
        <f>SUM(C33:H33)</f>
        <v>228042.19776000001</v>
      </c>
      <c r="R33">
        <f>+P33-Q33</f>
        <v>-10983.392160000018</v>
      </c>
    </row>
    <row r="34" spans="1:18">
      <c r="A34" s="11"/>
      <c r="B34" s="10" t="s">
        <v>38</v>
      </c>
      <c r="C34" s="18">
        <f>15.6485+(15.6485*0.03)</f>
        <v>16.117955000000002</v>
      </c>
      <c r="D34" s="18">
        <f>16.4354+(16.4354*0.03)</f>
        <v>16.928462</v>
      </c>
      <c r="E34" s="18">
        <f>17.2468+(17.2468*0.03)</f>
        <v>17.764203999999999</v>
      </c>
      <c r="F34" s="18">
        <f>18.1213+(18.1213*0.03)</f>
        <v>18.664939</v>
      </c>
      <c r="G34" s="18">
        <f>19.0206+(19.0206*0.03)</f>
        <v>19.591218000000001</v>
      </c>
      <c r="H34" s="18">
        <f>19.9698+(19.9698*0.03)</f>
        <v>20.568894</v>
      </c>
      <c r="I34" s="11"/>
      <c r="J34" s="11"/>
      <c r="O34" s="19">
        <f>15.1149+15.875+16.6587+17.5034+18.3721+19.2889</f>
        <v>102.813</v>
      </c>
      <c r="P34" s="19">
        <f>+O34*1.015</f>
        <v>104.35519499999999</v>
      </c>
      <c r="Q34" s="19">
        <f>SUM(C34:H34)</f>
        <v>109.635672</v>
      </c>
      <c r="R34">
        <f>+P34-Q34</f>
        <v>-5.2804770000000048</v>
      </c>
    </row>
    <row r="35" spans="1:18">
      <c r="A35" s="11"/>
      <c r="B35" s="10"/>
      <c r="C35" s="12"/>
      <c r="D35" s="12"/>
      <c r="E35" s="12"/>
      <c r="F35" s="12"/>
      <c r="G35" s="12"/>
      <c r="H35" s="12"/>
      <c r="I35" s="12"/>
      <c r="J35" s="12"/>
    </row>
    <row r="36" spans="1:18">
      <c r="A36" s="9">
        <v>7</v>
      </c>
      <c r="B36" s="10" t="s">
        <v>39</v>
      </c>
      <c r="C36" s="10">
        <f>+C37*2080</f>
        <v>36415.015520000001</v>
      </c>
      <c r="D36" s="10">
        <f t="shared" ref="D36:H36" si="6">+D37*2080</f>
        <v>38267.334559999996</v>
      </c>
      <c r="E36" s="10">
        <f t="shared" si="6"/>
        <v>40198.708160000002</v>
      </c>
      <c r="F36" s="10">
        <f t="shared" si="6"/>
        <v>42130.724479999997</v>
      </c>
      <c r="G36" s="10">
        <f t="shared" si="6"/>
        <v>44244.416320000004</v>
      </c>
      <c r="H36" s="10">
        <f t="shared" si="6"/>
        <v>44844.716800000002</v>
      </c>
      <c r="I36" s="12"/>
      <c r="J36" s="12"/>
      <c r="P36" s="19">
        <f>+P37*2080</f>
        <v>234247.98487999995</v>
      </c>
      <c r="Q36" s="19">
        <f>SUM(C36:H36)</f>
        <v>246100.91584000003</v>
      </c>
      <c r="R36">
        <f>+P36-Q36</f>
        <v>-11852.930960000085</v>
      </c>
    </row>
    <row r="37" spans="1:18">
      <c r="A37" s="11"/>
      <c r="B37" s="11"/>
      <c r="C37" s="18">
        <f>16.9973+(16.9973*0.03)</f>
        <v>17.507218999999999</v>
      </c>
      <c r="D37" s="18">
        <f>17.8619+(17.8619*0.03)</f>
        <v>18.397756999999999</v>
      </c>
      <c r="E37" s="18">
        <f>18.7634+(18.7634*0.03)</f>
        <v>19.326302000000002</v>
      </c>
      <c r="F37" s="18">
        <f>19.6652+(19.6652*0.03)</f>
        <v>20.255155999999999</v>
      </c>
      <c r="G37" s="18">
        <f>20.6518+(20.6518*0.03)</f>
        <v>21.271354000000002</v>
      </c>
      <c r="H37" s="18">
        <f>20.932+(20.932*0.03)</f>
        <v>21.55996</v>
      </c>
      <c r="I37" s="12"/>
      <c r="J37" s="12"/>
      <c r="O37" s="19">
        <f>16.4178+17.2529+18.1236+18.9947+19.9476+20.2183</f>
        <v>110.95489999999998</v>
      </c>
      <c r="P37" s="19">
        <f>+O37*1.015</f>
        <v>112.61922349999998</v>
      </c>
      <c r="Q37" s="19">
        <f>SUM(C37:H37)</f>
        <v>118.31774800000001</v>
      </c>
      <c r="R37">
        <f>+P37-Q37</f>
        <v>-5.6985245000000333</v>
      </c>
    </row>
    <row r="38" spans="1:18" ht="27.75" customHeight="1">
      <c r="A38" s="11"/>
      <c r="B38" s="11"/>
      <c r="C38" s="12"/>
      <c r="D38" s="12"/>
      <c r="E38" s="12"/>
      <c r="F38" s="12"/>
      <c r="G38" s="12"/>
      <c r="H38" s="12"/>
      <c r="I38" s="12"/>
      <c r="J38" s="12"/>
    </row>
    <row r="39" spans="1:18">
      <c r="A39" s="11"/>
      <c r="B39" s="11"/>
      <c r="C39" s="12"/>
      <c r="D39" s="12"/>
      <c r="E39" s="12"/>
      <c r="F39" s="12"/>
      <c r="G39" s="12"/>
      <c r="H39" s="12"/>
      <c r="I39" s="12"/>
      <c r="J39" s="12"/>
    </row>
    <row r="40" spans="1:18">
      <c r="A40" s="1" t="s">
        <v>0</v>
      </c>
      <c r="B40" s="1"/>
      <c r="C40" s="1"/>
      <c r="D40" s="1"/>
      <c r="E40" s="1"/>
      <c r="F40" s="1"/>
      <c r="G40" s="1"/>
      <c r="H40" s="1"/>
      <c r="I40" s="1"/>
      <c r="J40" s="1"/>
    </row>
    <row r="41" spans="1:18">
      <c r="A41" s="2" t="s">
        <v>1</v>
      </c>
      <c r="B41" s="1"/>
      <c r="C41" s="1"/>
      <c r="D41" s="1"/>
      <c r="E41" s="1"/>
      <c r="F41" s="1"/>
      <c r="G41" s="1"/>
      <c r="H41" s="1"/>
      <c r="I41" s="1"/>
      <c r="J41" s="1"/>
    </row>
    <row r="42" spans="1:18" ht="15.75" thickBot="1">
      <c r="A42" s="17" t="s">
        <v>2</v>
      </c>
      <c r="B42" s="16"/>
      <c r="C42" s="1"/>
      <c r="D42" s="1"/>
      <c r="E42" s="1"/>
      <c r="F42" s="1"/>
      <c r="G42" s="1"/>
      <c r="H42" s="1"/>
      <c r="I42" s="1"/>
      <c r="J42" s="1"/>
    </row>
    <row r="43" spans="1:18">
      <c r="A43" s="3" t="s">
        <v>3</v>
      </c>
      <c r="B43" s="4"/>
      <c r="C43" s="4"/>
      <c r="D43" s="4"/>
      <c r="E43" s="4"/>
      <c r="F43" s="4"/>
      <c r="G43" s="4"/>
      <c r="H43" s="4"/>
      <c r="I43" s="4"/>
      <c r="J43" s="5"/>
    </row>
    <row r="44" spans="1:18" ht="15.75" thickBot="1">
      <c r="A44" s="6" t="s">
        <v>4</v>
      </c>
      <c r="B44" s="7" t="s">
        <v>5</v>
      </c>
      <c r="C44" s="7" t="s">
        <v>6</v>
      </c>
      <c r="D44" s="7" t="s">
        <v>7</v>
      </c>
      <c r="E44" s="7" t="s">
        <v>8</v>
      </c>
      <c r="F44" s="7" t="s">
        <v>9</v>
      </c>
      <c r="G44" s="7" t="s">
        <v>10</v>
      </c>
      <c r="H44" s="7" t="s">
        <v>11</v>
      </c>
      <c r="I44" s="7" t="s">
        <v>12</v>
      </c>
      <c r="J44" s="8" t="s">
        <v>13</v>
      </c>
      <c r="O44" s="19">
        <v>1.0149999999999999</v>
      </c>
    </row>
    <row r="45" spans="1:18" ht="35.25" customHeight="1">
      <c r="A45" s="14">
        <v>8</v>
      </c>
      <c r="B45" s="29" t="s">
        <v>40</v>
      </c>
      <c r="C45" s="10">
        <f>+C46*2080</f>
        <v>36988.750240000001</v>
      </c>
      <c r="D45" s="10">
        <f t="shared" ref="D45:H45" si="7">+D46*2080</f>
        <v>38815.574719999997</v>
      </c>
      <c r="E45" s="10">
        <f t="shared" si="7"/>
        <v>40773.299840000007</v>
      </c>
      <c r="F45" s="10">
        <f t="shared" si="7"/>
        <v>42809.008320000001</v>
      </c>
      <c r="G45" s="10">
        <f t="shared" si="7"/>
        <v>44950.337120000004</v>
      </c>
      <c r="H45" s="10">
        <f t="shared" si="7"/>
        <v>45602.912160000007</v>
      </c>
      <c r="I45" s="11"/>
      <c r="J45" s="11"/>
      <c r="P45" s="19">
        <f>+P46*2080</f>
        <v>237901.83871999997</v>
      </c>
      <c r="Q45" s="19">
        <f>SUM(C45:H45)</f>
        <v>249939.88240000003</v>
      </c>
      <c r="R45">
        <f>+P45-Q45</f>
        <v>-12038.043680000061</v>
      </c>
    </row>
    <row r="46" spans="1:18">
      <c r="A46" s="11"/>
      <c r="B46" s="10" t="s">
        <v>41</v>
      </c>
      <c r="C46" s="18">
        <f>17.2651+(17.2651*0.03)</f>
        <v>17.783052999999999</v>
      </c>
      <c r="D46" s="18">
        <f>18.1178+(18.1178*0.03)</f>
        <v>18.661334</v>
      </c>
      <c r="E46" s="18">
        <f>19.0316+(19.0316*0.03)</f>
        <v>19.602548000000002</v>
      </c>
      <c r="F46" s="18">
        <f>19.9818+(19.9818*0.03)</f>
        <v>20.581254000000001</v>
      </c>
      <c r="G46" s="18">
        <f>20.9813+(20.9813*0.03)</f>
        <v>21.610739000000002</v>
      </c>
      <c r="H46" s="18">
        <f>21.2859+(21.2859*0.03)</f>
        <v>21.924477000000003</v>
      </c>
      <c r="I46" s="12"/>
      <c r="J46" s="12"/>
      <c r="O46" s="19">
        <f>16.6764+17.5+18.3827+19.3005+20.2659+20.5601</f>
        <v>112.68559999999999</v>
      </c>
      <c r="P46" s="19">
        <f>+O46*1.015</f>
        <v>114.37588399999999</v>
      </c>
      <c r="Q46" s="19">
        <f>SUM(C46:H46)</f>
        <v>120.16340500000001</v>
      </c>
      <c r="R46">
        <f>+P46-Q46</f>
        <v>-5.7875210000000266</v>
      </c>
    </row>
    <row r="47" spans="1:18">
      <c r="A47" s="11"/>
      <c r="C47" s="12"/>
      <c r="D47" s="12"/>
      <c r="E47" s="12"/>
      <c r="F47" s="12"/>
      <c r="G47" s="12"/>
      <c r="H47" s="12"/>
      <c r="I47" s="12"/>
      <c r="J47" s="12"/>
    </row>
    <row r="48" spans="1:18">
      <c r="A48" s="11"/>
      <c r="B48" s="10"/>
      <c r="C48" s="12"/>
      <c r="D48" s="12"/>
      <c r="E48" s="12"/>
      <c r="F48" s="12"/>
      <c r="G48" s="12"/>
      <c r="H48" s="12"/>
      <c r="I48" s="12"/>
      <c r="J48" s="12"/>
    </row>
    <row r="49" spans="1:18">
      <c r="A49" s="14">
        <v>9</v>
      </c>
      <c r="B49" s="10" t="s">
        <v>42</v>
      </c>
      <c r="C49" s="10">
        <f>+C50*2080</f>
        <v>38137.29088</v>
      </c>
      <c r="D49" s="10">
        <f t="shared" ref="D49:H49" si="8">+D50*2080</f>
        <v>39989.395680000001</v>
      </c>
      <c r="E49" s="10">
        <f t="shared" si="8"/>
        <v>41999.609599999996</v>
      </c>
      <c r="F49" s="10">
        <f t="shared" si="8"/>
        <v>44087.592640000003</v>
      </c>
      <c r="G49" s="10">
        <f t="shared" si="8"/>
        <v>46306.690559999995</v>
      </c>
      <c r="H49" s="10">
        <f t="shared" si="8"/>
        <v>47012.611360000003</v>
      </c>
      <c r="I49" s="11"/>
      <c r="J49" s="11"/>
      <c r="P49" s="19">
        <f>+P50*2080</f>
        <v>245129.53191999995</v>
      </c>
      <c r="Q49" s="19">
        <f>SUM(C49:H49)</f>
        <v>257533.19072000001</v>
      </c>
      <c r="R49">
        <f>+P49-Q49</f>
        <v>-12403.658800000063</v>
      </c>
    </row>
    <row r="50" spans="1:18">
      <c r="A50" s="10"/>
      <c r="B50" s="10" t="s">
        <v>43</v>
      </c>
      <c r="C50" s="18">
        <f>17.8012+(17.8012*0.03)</f>
        <v>18.335236000000002</v>
      </c>
      <c r="D50" s="18">
        <f>18.6657+(18.6657*0.03)</f>
        <v>19.225671000000002</v>
      </c>
      <c r="E50" s="18">
        <f>19.604+(19.604*0.03)</f>
        <v>20.192119999999999</v>
      </c>
      <c r="F50" s="18">
        <f>20.5786+(20.5786*0.03)</f>
        <v>21.195958000000001</v>
      </c>
      <c r="G50" s="18">
        <f>21.6144+(21.6144*0.03)</f>
        <v>22.262832</v>
      </c>
      <c r="H50" s="18">
        <f>21.9439+(21.9439*0.03)</f>
        <v>22.602217</v>
      </c>
      <c r="I50" s="12"/>
      <c r="J50" s="12"/>
      <c r="O50" s="19">
        <f>17.1942+18.0293+18.9356+19.8769+20.8774+21.1957</f>
        <v>116.1091</v>
      </c>
      <c r="P50" s="19">
        <f>+O50*1.015</f>
        <v>117.85073649999998</v>
      </c>
      <c r="Q50" s="19">
        <f>SUM(C50:H50)</f>
        <v>123.81403400000001</v>
      </c>
      <c r="R50">
        <f>+P50-Q50</f>
        <v>-5.9632975000000243</v>
      </c>
    </row>
    <row r="51" spans="1:18">
      <c r="B51" s="10" t="s">
        <v>44</v>
      </c>
    </row>
    <row r="52" spans="1:18">
      <c r="B52" s="10" t="s">
        <v>45</v>
      </c>
    </row>
    <row r="54" spans="1:18">
      <c r="A54" s="9">
        <v>10</v>
      </c>
      <c r="B54" s="10" t="s">
        <v>46</v>
      </c>
      <c r="C54" s="10">
        <f>+C55*2080</f>
        <v>33228.838239999997</v>
      </c>
      <c r="D54" s="10">
        <f t="shared" ref="D54:J54" si="9">+D55*2080</f>
        <v>35031.025119999991</v>
      </c>
      <c r="E54" s="10">
        <f t="shared" si="9"/>
        <v>36857.635360000007</v>
      </c>
      <c r="F54" s="10">
        <f t="shared" si="9"/>
        <v>38736.52016</v>
      </c>
      <c r="G54" s="10">
        <f t="shared" si="9"/>
        <v>40773.299840000007</v>
      </c>
      <c r="H54" s="10">
        <f t="shared" si="9"/>
        <v>42965.831999999995</v>
      </c>
      <c r="I54" s="10">
        <f t="shared" si="9"/>
        <v>45211.49568</v>
      </c>
      <c r="J54" s="10">
        <f t="shared" si="9"/>
        <v>47637.549440000003</v>
      </c>
      <c r="P54" s="19">
        <f>+P55*2080</f>
        <v>305008.86415999994</v>
      </c>
      <c r="Q54" s="19">
        <f>SUM(C54:J54)</f>
        <v>320442.19583999994</v>
      </c>
      <c r="R54">
        <f>+P54-Q54</f>
        <v>-15433.331680000003</v>
      </c>
    </row>
    <row r="55" spans="1:18">
      <c r="A55" s="10"/>
      <c r="B55" s="10"/>
      <c r="C55" s="18">
        <f>15.5101+(15.5101*0.03)</f>
        <v>15.975403</v>
      </c>
      <c r="D55" s="18">
        <f>16.3513+(16.3513*0.03)</f>
        <v>16.841838999999997</v>
      </c>
      <c r="E55" s="18">
        <f>17.2039+(17.2039*0.03)</f>
        <v>17.720017000000002</v>
      </c>
      <c r="F55" s="18">
        <f>18.0809+(18.0809*0.03)</f>
        <v>18.623327</v>
      </c>
      <c r="G55" s="18">
        <f>19.0316+(19.0316*0.03)</f>
        <v>19.602548000000002</v>
      </c>
      <c r="H55" s="18">
        <f>20.055+(20.055*0.03)</f>
        <v>20.656649999999999</v>
      </c>
      <c r="I55" s="18">
        <f>21.1032+(21.1032*0.03)</f>
        <v>21.736295999999999</v>
      </c>
      <c r="J55" s="18">
        <f>22.2356+(22.2356*0.03)</f>
        <v>22.902668000000002</v>
      </c>
      <c r="O55" s="19">
        <f>14.9813+15.7938+16.6173+17.4644+18.3827+19.3712+20.3837+21.4774</f>
        <v>144.4718</v>
      </c>
      <c r="P55" s="19">
        <f>+O55*1.015</f>
        <v>146.63887699999998</v>
      </c>
      <c r="Q55" s="19">
        <f>SUM(C55:J55)</f>
        <v>154.05874800000001</v>
      </c>
      <c r="R55">
        <f>+P55-Q55</f>
        <v>-7.419871000000029</v>
      </c>
    </row>
    <row r="56" spans="1:18">
      <c r="A56" s="11"/>
      <c r="B56" s="11"/>
      <c r="C56" s="11"/>
      <c r="D56" s="11"/>
      <c r="E56" s="13"/>
      <c r="F56" s="13"/>
      <c r="G56" s="11"/>
      <c r="H56" s="11"/>
      <c r="I56" s="11"/>
      <c r="J56" s="11"/>
    </row>
    <row r="57" spans="1:18">
      <c r="A57" s="9">
        <v>11</v>
      </c>
      <c r="B57" s="10" t="s">
        <v>47</v>
      </c>
      <c r="C57" s="10">
        <f>+C58*2080</f>
        <v>34378.235840000001</v>
      </c>
      <c r="D57" s="10">
        <f t="shared" ref="D57:J57" si="10">+D58*2080</f>
        <v>36204.631840000002</v>
      </c>
      <c r="E57" s="10">
        <f t="shared" si="10"/>
        <v>38033.812960000003</v>
      </c>
      <c r="F57" s="10">
        <f t="shared" si="10"/>
        <v>38946.475359999997</v>
      </c>
      <c r="G57" s="10">
        <f t="shared" si="10"/>
        <v>41948.406239999997</v>
      </c>
      <c r="H57" s="10">
        <f t="shared" si="10"/>
        <v>44114.158400000008</v>
      </c>
      <c r="I57" s="10">
        <f t="shared" si="10"/>
        <v>46358.965120000001</v>
      </c>
      <c r="J57" s="10">
        <f t="shared" si="10"/>
        <v>48786.947039999999</v>
      </c>
      <c r="P57" s="19">
        <f>+P58*2080</f>
        <v>314776.75319999998</v>
      </c>
      <c r="Q57" s="19">
        <f>SUM(C57:J57)</f>
        <v>328771.63280000002</v>
      </c>
      <c r="R57">
        <f>+P57-Q57</f>
        <v>-13994.879600000044</v>
      </c>
    </row>
    <row r="58" spans="1:18">
      <c r="A58" s="11"/>
      <c r="B58" s="10"/>
      <c r="C58" s="18">
        <f>16.0466+(16.0466*0.03)</f>
        <v>16.527998</v>
      </c>
      <c r="D58" s="18">
        <f>16.8991+(16.8991*0.03)</f>
        <v>17.406072999999999</v>
      </c>
      <c r="E58" s="18">
        <f>17.7529+(17.7529*0.03)</f>
        <v>18.285487</v>
      </c>
      <c r="F58" s="18">
        <f>18.1789+(18.1789*0.03)</f>
        <v>18.724266999999998</v>
      </c>
      <c r="G58" s="18">
        <f>19.5801+(19.5801*0.03)</f>
        <v>20.167503</v>
      </c>
      <c r="H58" s="18">
        <f>20.591+(20.591*0.03)</f>
        <v>21.208730000000003</v>
      </c>
      <c r="I58" s="18">
        <f>21.6388+(21.6388*0.03)</f>
        <v>22.287963999999999</v>
      </c>
      <c r="J58" s="18">
        <f>22.7721+(22.7721*0.03)</f>
        <v>23.455262999999999</v>
      </c>
      <c r="O58" s="19">
        <f>15.4995+17.1942+17.1476+17.5591+18.9125+19.8889+20.901+21.9957</f>
        <v>149.0985</v>
      </c>
      <c r="P58" s="19">
        <f>+O58*1.015</f>
        <v>151.33497749999998</v>
      </c>
      <c r="Q58" s="19">
        <f>SUM(C58:J58)</f>
        <v>158.06328500000001</v>
      </c>
      <c r="R58">
        <f>+P58-Q58</f>
        <v>-6.7283075000000281</v>
      </c>
    </row>
    <row r="59" spans="1:18">
      <c r="A59" s="11"/>
      <c r="B59" s="11"/>
      <c r="C59" s="11"/>
      <c r="D59" s="11"/>
      <c r="E59" s="13"/>
      <c r="F59" s="13"/>
      <c r="G59" s="11"/>
      <c r="H59" s="11"/>
      <c r="I59" s="11"/>
      <c r="J59" s="11"/>
    </row>
    <row r="60" spans="1:18">
      <c r="A60" s="9">
        <v>12</v>
      </c>
      <c r="B60" s="10" t="s">
        <v>48</v>
      </c>
      <c r="C60" s="10">
        <f>+C61*2080</f>
        <v>39860.637439999991</v>
      </c>
      <c r="D60" s="10">
        <f t="shared" ref="D60:H60" si="11">+D61*2080</f>
        <v>41869.565920000001</v>
      </c>
      <c r="E60" s="10">
        <f t="shared" si="11"/>
        <v>43958.620159999999</v>
      </c>
      <c r="F60" s="10">
        <f t="shared" si="11"/>
        <v>46150.938079999993</v>
      </c>
      <c r="G60" s="10">
        <f t="shared" si="11"/>
        <v>48448.019359999998</v>
      </c>
      <c r="H60" s="10">
        <f t="shared" si="11"/>
        <v>49309.692640000001</v>
      </c>
      <c r="I60" s="11"/>
      <c r="J60" s="11"/>
      <c r="P60" s="19">
        <f>+P61*2080</f>
        <v>256612.55983999994</v>
      </c>
      <c r="Q60" s="19">
        <f>SUM(C60:J60)</f>
        <v>269597.47359999997</v>
      </c>
      <c r="R60">
        <f>+P60-Q60</f>
        <v>-12984.913760000025</v>
      </c>
    </row>
    <row r="61" spans="1:18">
      <c r="A61" s="11"/>
      <c r="B61" s="10" t="s">
        <v>49</v>
      </c>
      <c r="C61" s="18">
        <f>18.6056+(18.6056*0.03)</f>
        <v>19.163767999999997</v>
      </c>
      <c r="D61" s="18">
        <f>19.5433+(19.5433*0.03)</f>
        <v>20.129598999999999</v>
      </c>
      <c r="E61" s="18">
        <f>20.5184+(20.5184*0.03)</f>
        <v>21.133952000000001</v>
      </c>
      <c r="F61" s="18">
        <f>21.5417+(21.5417*0.03)</f>
        <v>22.187950999999998</v>
      </c>
      <c r="G61" s="18">
        <f>22.6139+(22.6139*0.03)</f>
        <v>23.292317000000001</v>
      </c>
      <c r="H61" s="18">
        <f>23.0161+(23.0161*0.03)</f>
        <v>23.706583000000002</v>
      </c>
      <c r="I61" s="12"/>
      <c r="J61" s="12"/>
      <c r="O61" s="19">
        <f>17.9712+18.8769+19.8188+20.8072+21.8428+22.2313</f>
        <v>121.54819999999999</v>
      </c>
      <c r="P61" s="19">
        <f>+O61*1.015</f>
        <v>123.37142299999998</v>
      </c>
      <c r="Q61" s="19">
        <f>SUM(C61:J61)</f>
        <v>129.61417</v>
      </c>
      <c r="R61">
        <f>+P61-Q61</f>
        <v>-6.2427470000000227</v>
      </c>
    </row>
    <row r="62" spans="1:18">
      <c r="A62" s="11"/>
      <c r="C62" s="11"/>
      <c r="D62" s="11"/>
      <c r="E62" s="11"/>
      <c r="F62" s="11"/>
      <c r="G62" s="11"/>
      <c r="H62" s="11"/>
      <c r="I62" s="11"/>
      <c r="J62" s="11"/>
    </row>
    <row r="63" spans="1:18">
      <c r="A63" s="9">
        <v>13</v>
      </c>
      <c r="B63" s="10" t="s">
        <v>50</v>
      </c>
      <c r="C63" s="10">
        <f>+C64*2080</f>
        <v>40382.097600000001</v>
      </c>
      <c r="D63" s="10">
        <f t="shared" ref="D63:H63" si="12">+D64*2080</f>
        <v>42339.608479999995</v>
      </c>
      <c r="E63" s="10">
        <f t="shared" si="12"/>
        <v>44191.927519999997</v>
      </c>
      <c r="F63" s="10">
        <f t="shared" si="12"/>
        <v>46150.938079999993</v>
      </c>
      <c r="G63" s="10">
        <f t="shared" si="12"/>
        <v>48082.097440000005</v>
      </c>
      <c r="H63" s="10">
        <f t="shared" si="12"/>
        <v>50013.471039999997</v>
      </c>
      <c r="I63" s="11"/>
      <c r="J63" s="11"/>
      <c r="P63" s="19">
        <f>+P64*2080</f>
        <v>258100.32247999994</v>
      </c>
      <c r="Q63" s="19">
        <f>SUM(C63:J63)</f>
        <v>271160.14016000001</v>
      </c>
      <c r="R63">
        <f>+P63-Q63</f>
        <v>-13059.817680000066</v>
      </c>
    </row>
    <row r="64" spans="1:18">
      <c r="A64" s="14"/>
      <c r="B64" s="10"/>
      <c r="C64" s="18">
        <f>18.849+(18.849*0.03)</f>
        <v>19.414470000000001</v>
      </c>
      <c r="D64" s="18">
        <f>19.7627+(19.7627*0.03)</f>
        <v>20.355580999999997</v>
      </c>
      <c r="E64" s="18">
        <f>20.6273+(20.6273*0.03)</f>
        <v>21.246119</v>
      </c>
      <c r="F64" s="18">
        <f>21.5417+(21.5417*0.03)</f>
        <v>22.187950999999998</v>
      </c>
      <c r="G64" s="18">
        <f>22.4431+(22.4431*0.03)</f>
        <v>23.116393000000002</v>
      </c>
      <c r="H64" s="18">
        <f>23.3446+(23.3446*0.03)</f>
        <v>24.044937999999998</v>
      </c>
      <c r="I64" s="12"/>
      <c r="J64" s="12"/>
      <c r="O64" s="19">
        <f>18.2063+19.0889+19.924+20.8072+21.6779+22.5486</f>
        <v>122.25289999999998</v>
      </c>
      <c r="P64" s="19">
        <f>+O64*1.015</f>
        <v>124.08669349999997</v>
      </c>
      <c r="Q64" s="19">
        <f>SUM(C64:J64)</f>
        <v>130.36545199999998</v>
      </c>
      <c r="R64">
        <f>+P64-Q64</f>
        <v>-6.2787585000000092</v>
      </c>
    </row>
    <row r="65" spans="1:18">
      <c r="A65" s="14"/>
      <c r="B65" s="11"/>
      <c r="C65" s="11"/>
      <c r="D65" s="11"/>
      <c r="E65" s="11"/>
      <c r="F65" s="11"/>
      <c r="G65" s="11"/>
      <c r="H65" s="11"/>
      <c r="I65" s="11"/>
      <c r="J65" s="11"/>
    </row>
    <row r="66" spans="1:18">
      <c r="A66" s="9">
        <v>14</v>
      </c>
      <c r="B66" s="10" t="s">
        <v>51</v>
      </c>
      <c r="C66" s="10">
        <f>+C67*2080</f>
        <v>40303.043040000004</v>
      </c>
      <c r="D66" s="10">
        <f t="shared" ref="D66:H66" si="13">+D67*2080</f>
        <v>43566.13248</v>
      </c>
      <c r="E66" s="10">
        <f t="shared" si="13"/>
        <v>45316.044800000003</v>
      </c>
      <c r="F66" s="10">
        <f t="shared" si="13"/>
        <v>47116.08928</v>
      </c>
      <c r="G66" s="10">
        <f t="shared" si="13"/>
        <v>48943.556479999992</v>
      </c>
      <c r="H66" s="10">
        <f t="shared" si="13"/>
        <v>50718.106399999997</v>
      </c>
      <c r="I66" s="11"/>
      <c r="J66" s="11"/>
      <c r="P66" s="19">
        <f>+P67*2080</f>
        <v>262671.70383999997</v>
      </c>
      <c r="Q66" s="19">
        <f>SUM(C66:J66)</f>
        <v>275962.97248</v>
      </c>
      <c r="R66">
        <f>+P66-Q66</f>
        <v>-13291.268640000024</v>
      </c>
    </row>
    <row r="67" spans="1:18">
      <c r="A67" s="14"/>
      <c r="B67" s="10" t="s">
        <v>52</v>
      </c>
      <c r="C67" s="18">
        <f>18.8121+(18.8121*0.03)</f>
        <v>19.376463000000001</v>
      </c>
      <c r="D67" s="18">
        <f>20.3352+(20.3352*0.03)</f>
        <v>20.945256000000001</v>
      </c>
      <c r="E67" s="18">
        <f>21.152+(21.152*0.03)</f>
        <v>21.786560000000001</v>
      </c>
      <c r="F67" s="18">
        <f>21.9922+(21.9922*0.03)</f>
        <v>22.651966000000002</v>
      </c>
      <c r="G67" s="18">
        <f>22.8452+(22.8452*0.03)</f>
        <v>23.530555999999997</v>
      </c>
      <c r="H67" s="18">
        <f>23.6735+(23.6735*0.03)</f>
        <v>24.383704999999999</v>
      </c>
      <c r="I67" s="12"/>
      <c r="J67" s="12"/>
      <c r="O67" s="19">
        <f>18.1707+19.6418+20.4308+21.2423+22.0663+22.8663</f>
        <v>124.4182</v>
      </c>
      <c r="P67" s="19">
        <f>+O67*1.015</f>
        <v>126.28447299999999</v>
      </c>
      <c r="Q67" s="19">
        <f>SUM(C67:J67)</f>
        <v>132.67450599999998</v>
      </c>
      <c r="R67">
        <f>+P67-Q67</f>
        <v>-6.3900329999999883</v>
      </c>
    </row>
    <row r="68" spans="1:18">
      <c r="A68" s="14"/>
      <c r="B68" s="10" t="s">
        <v>53</v>
      </c>
      <c r="C68" s="18"/>
      <c r="D68" s="18"/>
      <c r="E68" s="18"/>
      <c r="F68" s="18"/>
      <c r="G68" s="18"/>
      <c r="H68" s="18"/>
      <c r="I68" s="12"/>
      <c r="J68" s="12"/>
    </row>
    <row r="69" spans="1:18">
      <c r="A69" s="14"/>
      <c r="B69" s="11"/>
      <c r="C69" s="11"/>
      <c r="D69" s="11"/>
      <c r="E69" s="11"/>
      <c r="F69" s="11"/>
      <c r="G69" s="11"/>
      <c r="H69" s="11"/>
      <c r="I69" s="11"/>
      <c r="J69" s="11"/>
    </row>
    <row r="70" spans="1:18">
      <c r="A70" s="9">
        <v>15</v>
      </c>
      <c r="B70" s="10" t="s">
        <v>54</v>
      </c>
      <c r="C70" s="10">
        <f>+C71*2080</f>
        <v>43776.087679999997</v>
      </c>
      <c r="D70" s="10">
        <f t="shared" ref="D70:H70" si="14">+D71*2080</f>
        <v>45968.619840000007</v>
      </c>
      <c r="E70" s="10">
        <f t="shared" si="14"/>
        <v>48238.921119999999</v>
      </c>
      <c r="F70" s="10">
        <f t="shared" si="14"/>
        <v>50667.117279999999</v>
      </c>
      <c r="G70" s="10">
        <f t="shared" si="14"/>
        <v>53224.285919999995</v>
      </c>
      <c r="H70" s="10">
        <f t="shared" si="14"/>
        <v>54399.392319999999</v>
      </c>
      <c r="I70" s="11"/>
      <c r="J70" s="11"/>
      <c r="P70" s="19">
        <f>+P71*2080</f>
        <v>282004.80671999999</v>
      </c>
      <c r="Q70" s="19">
        <f>SUM(C70:J70)</f>
        <v>296274.42416</v>
      </c>
      <c r="R70">
        <f>+P70-Q70</f>
        <v>-14269.617440000002</v>
      </c>
    </row>
    <row r="71" spans="1:18">
      <c r="A71" s="11"/>
      <c r="B71" s="10" t="s">
        <v>55</v>
      </c>
      <c r="C71" s="18">
        <f>20.4332+(20.4332*0.03)</f>
        <v>21.046195999999998</v>
      </c>
      <c r="D71" s="18">
        <f>21.4566+(21.4566*0.03)</f>
        <v>22.100298000000002</v>
      </c>
      <c r="E71" s="18">
        <f>22.5163+(22.5163*0.03)</f>
        <v>23.191789</v>
      </c>
      <c r="F71" s="18">
        <f>23.6497+(23.6497*0.03)</f>
        <v>24.359190999999999</v>
      </c>
      <c r="G71" s="18">
        <f>24.8433+(24.8433*0.03)</f>
        <v>25.588598999999999</v>
      </c>
      <c r="H71" s="18">
        <f>25.3918+(25.3918*0.03)</f>
        <v>26.153554</v>
      </c>
      <c r="I71" s="15"/>
      <c r="J71" s="15"/>
      <c r="O71" s="19">
        <f>19.7365+20.725+21.7486+22.8433+23.9962+24.526</f>
        <v>133.57560000000001</v>
      </c>
      <c r="P71" s="19">
        <f>+O71*1.015</f>
        <v>135.57923399999999</v>
      </c>
      <c r="Q71" s="19">
        <f>SUM(C71:J71)</f>
        <v>142.439627</v>
      </c>
      <c r="R71">
        <f>+P71-Q71</f>
        <v>-6.8603930000000162</v>
      </c>
    </row>
    <row r="72" spans="1:18">
      <c r="A72" s="11"/>
      <c r="B72" s="10" t="s">
        <v>56</v>
      </c>
      <c r="C72" s="11"/>
      <c r="D72" s="11"/>
      <c r="E72" s="11"/>
      <c r="F72" s="11"/>
      <c r="G72" s="11"/>
      <c r="H72" s="11"/>
      <c r="I72" s="11"/>
      <c r="J72" s="11"/>
    </row>
    <row r="73" spans="1:18">
      <c r="A73" s="11"/>
      <c r="B73" s="10" t="s">
        <v>57</v>
      </c>
      <c r="C73" s="13"/>
      <c r="D73" s="11"/>
      <c r="E73" s="11"/>
      <c r="F73" s="11"/>
      <c r="G73" s="11"/>
      <c r="H73" s="21"/>
      <c r="I73" s="11"/>
      <c r="J73" s="11"/>
    </row>
    <row r="74" spans="1:18">
      <c r="B74" s="10" t="s">
        <v>58</v>
      </c>
    </row>
    <row r="82" spans="3:9">
      <c r="D82" s="26"/>
      <c r="E82" s="23"/>
      <c r="F82" s="23"/>
      <c r="G82" s="24"/>
      <c r="H82" s="24"/>
      <c r="I82" s="24"/>
    </row>
    <row r="83" spans="3:9" ht="15.75">
      <c r="C83" s="27"/>
      <c r="D83" s="27"/>
      <c r="E83" s="27"/>
      <c r="F83" s="28"/>
      <c r="G83" s="27"/>
      <c r="H83" s="27"/>
      <c r="I83" s="27"/>
    </row>
    <row r="84" spans="3:9">
      <c r="C84" s="25"/>
      <c r="D84" s="25"/>
      <c r="E84" s="25"/>
      <c r="F84" s="25"/>
      <c r="G84" s="25"/>
      <c r="H84" s="25"/>
      <c r="I84" s="25"/>
    </row>
    <row r="85" spans="3:9">
      <c r="D85" s="25"/>
      <c r="E85" s="25"/>
      <c r="F85" s="25"/>
      <c r="G85" s="25"/>
      <c r="H85" s="25"/>
      <c r="I85" s="25"/>
    </row>
    <row r="86" spans="3:9">
      <c r="C86" s="25"/>
      <c r="D86" s="19"/>
      <c r="E86" s="19"/>
      <c r="F86" s="19"/>
      <c r="G86" s="19"/>
      <c r="H86" s="19"/>
      <c r="I86" s="19"/>
    </row>
    <row r="88" spans="3:9">
      <c r="C88" s="19"/>
      <c r="D88" s="19"/>
      <c r="E88" s="19"/>
      <c r="F88" s="19"/>
      <c r="G88" s="19"/>
      <c r="H88" s="19"/>
      <c r="I88" s="19"/>
    </row>
    <row r="89" spans="3:9">
      <c r="C89" s="19"/>
      <c r="D89" s="19"/>
      <c r="E89" s="19"/>
      <c r="F89" s="19"/>
      <c r="G89" s="19"/>
      <c r="H89" s="19"/>
      <c r="I89" s="19"/>
    </row>
    <row r="90" spans="3:9">
      <c r="C90" s="19"/>
      <c r="D90" s="19"/>
      <c r="E90" s="19"/>
      <c r="F90" s="19"/>
      <c r="G90" s="19"/>
      <c r="H90" s="19"/>
      <c r="I90" s="19"/>
    </row>
    <row r="91" spans="3:9">
      <c r="C91" s="19"/>
      <c r="D91" s="19"/>
      <c r="E91" s="19"/>
      <c r="F91" s="19"/>
      <c r="G91" s="19"/>
      <c r="H91" s="19"/>
      <c r="I91" s="19"/>
    </row>
    <row r="92" spans="3:9">
      <c r="C92" s="19"/>
      <c r="D92" s="19"/>
      <c r="E92" s="19"/>
      <c r="F92" s="19"/>
      <c r="G92" s="19"/>
      <c r="H92" s="19"/>
      <c r="I92" s="19"/>
    </row>
    <row r="93" spans="3:9">
      <c r="C93" s="19"/>
      <c r="D93" s="19"/>
      <c r="E93" s="19"/>
      <c r="F93" s="19"/>
      <c r="G93" s="19"/>
      <c r="H93" s="19"/>
      <c r="I93" s="19"/>
    </row>
  </sheetData>
  <phoneticPr fontId="3" type="noConversion"/>
  <pageMargins left="0.75" right="0.5" top="0.25" bottom="0.25" header="0.5" footer="0.5"/>
  <pageSetup scale="84" fitToHeight="0" orientation="landscape" r:id="rId1"/>
  <headerFooter alignWithMargins="0"/>
  <rowBreaks count="1" manualBreakCount="1">
    <brk id="38" max="16383" man="1"/>
  </rowBreaks>
  <ignoredErrors>
    <ignoredError sqref="C11:C15 C38:H41 C26:H26 C51:J53 D8:H8 D12:H15 C18:H23 I6:J28 C59:H59 C32:H32 C35:H35 C47:H48 I69:J71 C56:J56 I32:J50 C62:H62 C65:H65 C69:H69 D11:F11 H11 C29:J30 I59:J67 C43:H44 D42:H42" unlockedFormula="1"/>
    <ignoredError sqref="A32:A37 A69:A70 A43:A51 A6:A30 A54:A6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74"/>
  <sheetViews>
    <sheetView topLeftCell="A21" zoomScale="75" zoomScaleNormal="75" workbookViewId="0">
      <selection activeCell="B40" sqref="B40"/>
    </sheetView>
  </sheetViews>
  <sheetFormatPr defaultRowHeight="15"/>
  <cols>
    <col min="1" max="1" width="7.88671875" bestFit="1" customWidth="1"/>
    <col min="2" max="2" width="27.44140625" bestFit="1" customWidth="1"/>
    <col min="3" max="3" width="11.77734375" bestFit="1" customWidth="1"/>
    <col min="4" max="4" width="11" customWidth="1"/>
    <col min="5" max="8" width="11.109375" bestFit="1" customWidth="1"/>
    <col min="9" max="10" width="10.88671875" bestFit="1" customWidth="1"/>
    <col min="15" max="15" width="11.44140625" style="19" bestFit="1" customWidth="1"/>
    <col min="16" max="17" width="12.88671875" style="19" bestFit="1" customWidth="1"/>
  </cols>
  <sheetData>
    <row r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8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8" ht="15.75" thickBot="1">
      <c r="A3" s="17" t="s">
        <v>59</v>
      </c>
      <c r="B3" s="1"/>
      <c r="C3" s="1"/>
      <c r="D3" s="1"/>
      <c r="E3" s="1"/>
      <c r="F3" s="1"/>
      <c r="G3" s="1"/>
      <c r="H3" s="1"/>
      <c r="I3" s="1"/>
      <c r="J3" s="1"/>
    </row>
    <row r="4" spans="1:18">
      <c r="A4" s="3" t="s">
        <v>3</v>
      </c>
      <c r="B4" s="4"/>
      <c r="C4" s="4"/>
      <c r="D4" s="4"/>
      <c r="E4" s="4"/>
      <c r="F4" s="4"/>
      <c r="G4" s="4"/>
      <c r="H4" s="4"/>
      <c r="I4" s="4"/>
      <c r="J4" s="5"/>
      <c r="O4" s="19">
        <v>1.0149999999999999</v>
      </c>
    </row>
    <row r="5" spans="1:18" ht="15.75" thickBot="1">
      <c r="A5" s="6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8" t="s">
        <v>13</v>
      </c>
    </row>
    <row r="6" spans="1:18" ht="27.75" customHeight="1">
      <c r="A6" s="9" t="s">
        <v>14</v>
      </c>
      <c r="B6" s="10" t="s">
        <v>15</v>
      </c>
      <c r="C6" s="10">
        <f>ROUND(+C7*2080,2)</f>
        <v>27583.73</v>
      </c>
      <c r="D6" s="10">
        <f t="shared" ref="D6:H6" si="0">ROUND(+D7*2080,2)</f>
        <v>28994.53</v>
      </c>
      <c r="E6" s="10">
        <f t="shared" si="0"/>
        <v>30432.2</v>
      </c>
      <c r="F6" s="10">
        <f t="shared" si="0"/>
        <v>31844.31</v>
      </c>
      <c r="G6" s="10">
        <f t="shared" si="0"/>
        <v>33254.01</v>
      </c>
      <c r="H6" s="10">
        <f t="shared" si="0"/>
        <v>33254.01</v>
      </c>
      <c r="I6" s="11"/>
      <c r="J6" s="11"/>
      <c r="P6" s="19">
        <f>+P7*2080</f>
        <v>172975.47175999999</v>
      </c>
      <c r="Q6" s="19">
        <f>SUM(C6:H6)</f>
        <v>185362.79</v>
      </c>
      <c r="R6">
        <f>+P6-Q6</f>
        <v>-12387.318240000022</v>
      </c>
    </row>
    <row r="7" spans="1:18">
      <c r="A7" s="11"/>
      <c r="B7" s="11" t="s">
        <v>16</v>
      </c>
      <c r="C7" s="18">
        <f>13.001381+(13.001381*0.02)</f>
        <v>13.261408620000001</v>
      </c>
      <c r="D7" s="18">
        <f>13.666349+(13.666349*0.02)</f>
        <v>13.939675980000001</v>
      </c>
      <c r="E7" s="18">
        <f>14.343986+(14.343986*0.02)</f>
        <v>14.630865719999999</v>
      </c>
      <c r="F7" s="18">
        <f>15.009572+(15.009572*0.02)</f>
        <v>15.309763440000001</v>
      </c>
      <c r="G7" s="18">
        <f>15.674025+(15.674025*0.02)</f>
        <v>15.987505500000001</v>
      </c>
      <c r="H7" s="18">
        <f>15.674025+(15.674025*0.02)</f>
        <v>15.987505500000001</v>
      </c>
      <c r="I7" s="12"/>
      <c r="J7" s="12"/>
      <c r="O7" s="19">
        <f>12.1923+12.8159+13.4514+14.0755+14.6986+14.6986</f>
        <v>81.932299999999998</v>
      </c>
      <c r="P7" s="19">
        <f>+O7*1.015</f>
        <v>83.161284499999994</v>
      </c>
      <c r="Q7" s="19">
        <f>SUM(C7:H7)</f>
        <v>89.116724759999997</v>
      </c>
      <c r="R7">
        <f>+P7-Q7</f>
        <v>-5.9554402600000031</v>
      </c>
    </row>
    <row r="8" spans="1:18">
      <c r="A8" s="11"/>
      <c r="B8" s="11"/>
      <c r="C8" s="11"/>
      <c r="D8" s="11"/>
      <c r="E8" s="11"/>
      <c r="F8" s="11"/>
      <c r="G8" s="11"/>
      <c r="H8" s="11"/>
      <c r="I8" s="11"/>
      <c r="J8" s="11"/>
    </row>
    <row r="9" spans="1:18">
      <c r="A9" s="9" t="s">
        <v>17</v>
      </c>
      <c r="B9" s="10" t="s">
        <v>18</v>
      </c>
      <c r="C9" s="10">
        <f>+C10*2080</f>
        <v>28727.925782399998</v>
      </c>
      <c r="D9" s="10">
        <f t="shared" ref="D9:H9" si="1">+D10*2080</f>
        <v>30193.1345664</v>
      </c>
      <c r="E9" s="10">
        <f t="shared" si="1"/>
        <v>31684.347801600004</v>
      </c>
      <c r="F9" s="10">
        <f t="shared" si="1"/>
        <v>33255.978163200001</v>
      </c>
      <c r="G9" s="10">
        <f t="shared" si="1"/>
        <v>34800.511449599995</v>
      </c>
      <c r="H9" s="10">
        <f t="shared" si="1"/>
        <v>34800.511449599995</v>
      </c>
      <c r="I9" s="11"/>
      <c r="J9" s="11"/>
      <c r="P9" s="19">
        <f>+P10*2080</f>
        <v>180533.99</v>
      </c>
      <c r="Q9" s="19">
        <f>SUM(C9:H9)</f>
        <v>193462.40921279998</v>
      </c>
      <c r="R9">
        <f>+P9-Q9</f>
        <v>-12928.419212799985</v>
      </c>
    </row>
    <row r="10" spans="1:18">
      <c r="A10" s="11"/>
      <c r="B10" s="10" t="s">
        <v>19</v>
      </c>
      <c r="C10" s="18">
        <f>13.540689+(13.540689*0.02)</f>
        <v>13.81150278</v>
      </c>
      <c r="D10" s="18">
        <f>14.231304+(14.231304*0.02)</f>
        <v>14.51593008</v>
      </c>
      <c r="E10" s="18">
        <f>14.934176+(14.934176*0.02)</f>
        <v>15.232859520000002</v>
      </c>
      <c r="F10" s="18">
        <f>15.674952+(15.674952*0.02)</f>
        <v>15.988451039999999</v>
      </c>
      <c r="G10" s="18">
        <f>16.402956+(16.402956*0.02)</f>
        <v>16.731015119999999</v>
      </c>
      <c r="H10" s="18">
        <f>16.402956+(16.402956*0.02)</f>
        <v>16.731015119999999</v>
      </c>
      <c r="I10" s="12"/>
      <c r="J10" s="12"/>
      <c r="O10" s="19">
        <f>12.6981+13.3457+14.0048+14.6995+15.3822+15.3822</f>
        <v>85.512500000000003</v>
      </c>
      <c r="P10" s="19">
        <f>+O10*1.015</f>
        <v>86.795187499999997</v>
      </c>
      <c r="Q10" s="19">
        <f>SUM(C10:H10)</f>
        <v>93.010773659999998</v>
      </c>
      <c r="R10">
        <f>+P10-Q10</f>
        <v>-6.2155861600000009</v>
      </c>
    </row>
    <row r="11" spans="1:18">
      <c r="A11" s="11"/>
      <c r="B11" s="11" t="s">
        <v>20</v>
      </c>
      <c r="C11" s="11"/>
      <c r="D11" s="11"/>
      <c r="E11" s="11"/>
      <c r="F11" s="11"/>
      <c r="G11" s="11"/>
      <c r="H11" s="11"/>
      <c r="I11" s="11"/>
      <c r="J11" s="11"/>
    </row>
    <row r="12" spans="1:18">
      <c r="A12" s="11"/>
      <c r="B12" s="10" t="s">
        <v>21</v>
      </c>
      <c r="C12" s="11"/>
      <c r="D12" s="11"/>
      <c r="E12" s="11"/>
      <c r="F12" s="11"/>
      <c r="G12" s="11"/>
      <c r="H12" s="11"/>
      <c r="I12" s="11"/>
      <c r="J12" s="11"/>
    </row>
    <row r="13" spans="1:18">
      <c r="A13" s="11"/>
      <c r="B13" s="10" t="s">
        <v>22</v>
      </c>
      <c r="C13" s="11"/>
      <c r="D13" s="11"/>
      <c r="E13" s="11"/>
      <c r="F13" s="11"/>
      <c r="G13" s="11"/>
      <c r="H13" s="11"/>
      <c r="I13" s="11"/>
      <c r="J13" s="11"/>
    </row>
    <row r="14" spans="1:18">
      <c r="A14" s="11"/>
      <c r="C14" s="11"/>
      <c r="D14" s="11"/>
      <c r="E14" s="13"/>
      <c r="F14" s="13"/>
      <c r="G14" s="11"/>
      <c r="H14" s="11"/>
      <c r="I14" s="11"/>
      <c r="J14" s="11"/>
    </row>
    <row r="15" spans="1:18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spans="1:18">
      <c r="A16" s="9" t="s">
        <v>23</v>
      </c>
      <c r="B16" s="10" t="s">
        <v>24</v>
      </c>
      <c r="C16" s="10">
        <f>+C17*2080</f>
        <v>31230.690316799999</v>
      </c>
      <c r="D16" s="10">
        <f t="shared" ref="D16:H16" si="2">+D17*2080</f>
        <v>32776.316227199997</v>
      </c>
      <c r="E16" s="10">
        <f t="shared" si="2"/>
        <v>34426.396992000002</v>
      </c>
      <c r="F16" s="10">
        <f t="shared" si="2"/>
        <v>36130.671907200005</v>
      </c>
      <c r="G16" s="10">
        <f t="shared" si="2"/>
        <v>37967.809900799999</v>
      </c>
      <c r="H16" s="10">
        <f t="shared" si="2"/>
        <v>38047.352928</v>
      </c>
      <c r="I16" s="11"/>
      <c r="J16" s="11"/>
      <c r="P16" s="19">
        <f>+P17*2080</f>
        <v>196506.90695999996</v>
      </c>
      <c r="Q16" s="19">
        <f>SUM(C16:H16)</f>
        <v>210579.23827200002</v>
      </c>
      <c r="R16">
        <f>+P16-Q16</f>
        <v>-14072.331312000053</v>
      </c>
    </row>
    <row r="17" spans="1:18">
      <c r="A17" s="11"/>
      <c r="B17" s="10" t="s">
        <v>25</v>
      </c>
      <c r="C17" s="18">
        <f>14.720348+(14.720348*0.02)</f>
        <v>15.014754959999999</v>
      </c>
      <c r="D17" s="18">
        <f>15.448867+(15.448867*0.02)</f>
        <v>15.75784434</v>
      </c>
      <c r="E17" s="18">
        <f>16.22662+(16.22662*0.02)</f>
        <v>16.551152399999999</v>
      </c>
      <c r="F17" s="18">
        <f>17.029917+(17.029917*0.02)</f>
        <v>17.370515340000001</v>
      </c>
      <c r="G17" s="18">
        <f>17.895838+(17.895838*0.02)</f>
        <v>18.25375476</v>
      </c>
      <c r="H17" s="18">
        <f>17.93333+(17.93333*0.02)</f>
        <v>18.291996600000001</v>
      </c>
      <c r="I17" s="12"/>
      <c r="J17" s="12"/>
      <c r="O17" s="19">
        <f>13.8043+14.4875+15.2168+15.9702+16.7822+16.8173</f>
        <v>93.078299999999999</v>
      </c>
      <c r="P17" s="19">
        <f>+O17*1.015</f>
        <v>94.474474499999985</v>
      </c>
      <c r="Q17" s="19">
        <f>SUM(C17:H17)</f>
        <v>101.2400184</v>
      </c>
      <c r="R17">
        <f>+P17-Q17</f>
        <v>-6.7655439000000115</v>
      </c>
    </row>
    <row r="18" spans="1:18">
      <c r="A18" s="11"/>
      <c r="B18" s="10" t="s">
        <v>26</v>
      </c>
      <c r="C18" s="11"/>
      <c r="D18" s="11"/>
      <c r="E18" s="11"/>
      <c r="F18" s="11"/>
      <c r="G18" s="11"/>
      <c r="H18" s="11"/>
      <c r="I18" s="11"/>
      <c r="J18" s="11"/>
    </row>
    <row r="19" spans="1:18">
      <c r="A19" s="11"/>
      <c r="B19" s="10" t="s">
        <v>27</v>
      </c>
      <c r="C19" s="11"/>
      <c r="D19" s="11"/>
      <c r="E19" s="11"/>
      <c r="F19" s="11"/>
      <c r="G19" s="11"/>
      <c r="H19" s="11"/>
      <c r="I19" s="11"/>
      <c r="J19" s="11"/>
    </row>
    <row r="20" spans="1:18">
      <c r="A20" s="9"/>
      <c r="B20" s="11" t="s">
        <v>28</v>
      </c>
      <c r="C20" s="10"/>
      <c r="D20" s="11"/>
      <c r="E20" s="11"/>
      <c r="F20" s="11"/>
      <c r="G20" s="11"/>
      <c r="H20" s="11"/>
      <c r="I20" s="11"/>
      <c r="J20" s="11"/>
    </row>
    <row r="21" spans="1:18">
      <c r="A21" s="11"/>
      <c r="B21" s="10" t="s">
        <v>29</v>
      </c>
      <c r="C21" s="12"/>
      <c r="D21" s="12"/>
      <c r="E21" s="12"/>
      <c r="F21" s="12"/>
      <c r="G21" s="12"/>
      <c r="H21" s="20"/>
      <c r="I21" s="12"/>
      <c r="J21" s="12"/>
    </row>
    <row r="22" spans="1:18">
      <c r="B22" s="10" t="s">
        <v>30</v>
      </c>
      <c r="C22" s="11"/>
      <c r="D22" s="11"/>
      <c r="E22" s="11"/>
      <c r="F22" s="11"/>
      <c r="G22" s="11"/>
      <c r="H22" s="11"/>
      <c r="I22" s="11"/>
      <c r="J22" s="11"/>
    </row>
    <row r="23" spans="1:18">
      <c r="A23" s="11"/>
      <c r="C23" s="11"/>
      <c r="D23" s="11"/>
      <c r="E23" s="11"/>
      <c r="F23" s="11"/>
      <c r="G23" s="11"/>
      <c r="H23" s="11"/>
      <c r="I23" s="11"/>
      <c r="J23" s="11"/>
    </row>
    <row r="24" spans="1:18">
      <c r="A24" s="9">
        <v>4</v>
      </c>
      <c r="B24" s="10" t="s">
        <v>31</v>
      </c>
      <c r="C24" s="10">
        <f>+C25*2080</f>
        <v>32589.258998400001</v>
      </c>
      <c r="D24" s="10">
        <f t="shared" ref="D24:H24" si="3">+D25*2080</f>
        <v>34214.209411199998</v>
      </c>
      <c r="E24" s="10">
        <f t="shared" si="3"/>
        <v>35917.610227199999</v>
      </c>
      <c r="F24" s="10">
        <f t="shared" si="3"/>
        <v>37728.525244799996</v>
      </c>
      <c r="G24" s="10">
        <f t="shared" si="3"/>
        <v>39591.886214399994</v>
      </c>
      <c r="H24" s="10">
        <f t="shared" si="3"/>
        <v>39777.850819200001</v>
      </c>
      <c r="I24" s="11"/>
      <c r="J24" s="11"/>
      <c r="P24" s="19">
        <f>+P25*2080</f>
        <v>205129.46999999997</v>
      </c>
      <c r="Q24" s="19">
        <f>SUM(C24:H24)</f>
        <v>219819.34091520001</v>
      </c>
      <c r="R24">
        <f>+P24-Q24</f>
        <v>-14689.870915200037</v>
      </c>
    </row>
    <row r="25" spans="1:18">
      <c r="A25" s="11"/>
      <c r="B25" s="11"/>
      <c r="C25" s="18">
        <f>15.360699+(15.360699*0.02)</f>
        <v>15.667912980000001</v>
      </c>
      <c r="D25" s="18">
        <f>16.126607+(16.126607*0.02)</f>
        <v>16.44913914</v>
      </c>
      <c r="E25" s="18">
        <f>16.929492+(16.929492*0.02)</f>
        <v>17.268081840000001</v>
      </c>
      <c r="F25" s="18">
        <f>17.783053+(17.783053*0.02)</f>
        <v>18.138714059999998</v>
      </c>
      <c r="G25" s="18">
        <f>18.661334+(18.661334*0.02)</f>
        <v>19.034560679999998</v>
      </c>
      <c r="H25" s="18">
        <f>18.748987+(18.748987*0.02)</f>
        <v>19.12396674</v>
      </c>
      <c r="I25" s="11"/>
      <c r="J25" s="11"/>
      <c r="O25" s="19">
        <f>14.4048+15.1231+15.876+16.6764+17.5+17.5822</f>
        <v>97.162499999999994</v>
      </c>
      <c r="P25" s="19">
        <f>+O25*1.015</f>
        <v>98.619937499999992</v>
      </c>
      <c r="Q25" s="19">
        <f>SUM(C25:H25)</f>
        <v>105.68237544</v>
      </c>
      <c r="R25">
        <f>+P25-Q25</f>
        <v>-7.0624379400000095</v>
      </c>
    </row>
    <row r="26" spans="1:18">
      <c r="A26" s="11"/>
      <c r="B26" s="11"/>
      <c r="C26" s="11"/>
      <c r="D26" s="11"/>
      <c r="E26" s="11"/>
      <c r="F26" s="11"/>
      <c r="G26" s="11"/>
      <c r="H26" s="11"/>
      <c r="I26" s="12"/>
      <c r="J26" s="12"/>
    </row>
    <row r="27" spans="1:18">
      <c r="A27" s="9">
        <v>5</v>
      </c>
      <c r="B27" s="10" t="s">
        <v>32</v>
      </c>
      <c r="C27" s="10">
        <f>+C28*2080</f>
        <v>34000.055107200002</v>
      </c>
      <c r="D27" s="10">
        <f t="shared" ref="D27:H27" si="4">+D28*2080</f>
        <v>35731.645622399999</v>
      </c>
      <c r="E27" s="10">
        <f t="shared" si="4"/>
        <v>37515.463564800004</v>
      </c>
      <c r="F27" s="10">
        <f t="shared" si="4"/>
        <v>39379.698633599997</v>
      </c>
      <c r="G27" s="10">
        <f t="shared" si="4"/>
        <v>41348.388556799997</v>
      </c>
      <c r="H27" s="10">
        <f t="shared" si="4"/>
        <v>41642.085888000001</v>
      </c>
      <c r="I27" s="11"/>
      <c r="J27" s="11"/>
      <c r="P27" s="19">
        <f>+P28*2080</f>
        <v>214272.86607999995</v>
      </c>
      <c r="Q27" s="19">
        <f>SUM(C27:H27)</f>
        <v>229617.33737280002</v>
      </c>
      <c r="R27">
        <f>+P27-Q27</f>
        <v>-15344.471292800066</v>
      </c>
    </row>
    <row r="28" spans="1:18">
      <c r="A28" s="11"/>
      <c r="B28" s="10" t="s">
        <v>33</v>
      </c>
      <c r="C28" s="18">
        <f>16.025667+(16.025667*0.02)</f>
        <v>16.34618034</v>
      </c>
      <c r="D28" s="18">
        <f>16.841839+(16.841839*0.02)</f>
        <v>17.178675779999999</v>
      </c>
      <c r="E28" s="18">
        <f>17.682628+(17.682628*0.02)</f>
        <v>18.036280560000002</v>
      </c>
      <c r="F28" s="18">
        <f>18.561321+(18.561321*0.02)</f>
        <v>18.932547419999999</v>
      </c>
      <c r="G28" s="18">
        <f>19.489248+(19.489248*0.02)</f>
        <v>19.87903296</v>
      </c>
      <c r="H28" s="18">
        <f>19.62768+(19.62768*0.02)</f>
        <v>20.020233600000001</v>
      </c>
      <c r="I28" s="11"/>
      <c r="J28" s="11"/>
      <c r="O28" s="19">
        <f>15.0284+15.7938+16.5822+17.4063+18.2764+18.4063</f>
        <v>101.49339999999999</v>
      </c>
      <c r="P28" s="19">
        <f>+O28*1.015</f>
        <v>103.01580099999998</v>
      </c>
      <c r="Q28" s="19">
        <f>SUM(C28:H28)</f>
        <v>110.39295066</v>
      </c>
      <c r="R28">
        <f>+P28-Q28</f>
        <v>-7.3771496600000148</v>
      </c>
    </row>
    <row r="29" spans="1:18">
      <c r="A29" s="11"/>
      <c r="B29" s="10" t="s">
        <v>34</v>
      </c>
      <c r="C29" s="11"/>
      <c r="D29" s="11"/>
      <c r="E29" s="11"/>
      <c r="F29" s="11"/>
      <c r="G29" s="11"/>
      <c r="H29" s="11"/>
      <c r="I29" s="12"/>
      <c r="J29" s="12"/>
    </row>
    <row r="30" spans="1:18">
      <c r="A30" s="11"/>
      <c r="B30" s="10" t="s">
        <v>35</v>
      </c>
      <c r="C30" s="11"/>
      <c r="D30" s="11"/>
      <c r="E30" s="11"/>
      <c r="F30" s="11"/>
      <c r="G30" s="11"/>
      <c r="H30" s="11"/>
      <c r="I30" s="11"/>
      <c r="J30" s="11"/>
    </row>
    <row r="31" spans="1:18">
      <c r="A31" s="11"/>
      <c r="B31" s="10" t="s">
        <v>36</v>
      </c>
      <c r="C31" s="11"/>
      <c r="D31" s="11"/>
      <c r="E31" s="11"/>
      <c r="F31" s="11"/>
      <c r="G31" s="11"/>
      <c r="H31" s="11"/>
      <c r="I31" s="11"/>
      <c r="J31" s="11"/>
    </row>
    <row r="32" spans="1:18">
      <c r="A32" s="11"/>
      <c r="B32" s="10"/>
      <c r="C32" s="11"/>
      <c r="D32" s="11"/>
      <c r="E32" s="11"/>
      <c r="F32" s="11"/>
      <c r="G32" s="11"/>
      <c r="H32" s="11"/>
      <c r="I32" s="11"/>
      <c r="J32" s="11"/>
    </row>
    <row r="33" spans="1:18">
      <c r="A33" s="9">
        <v>6</v>
      </c>
      <c r="B33" s="10" t="s">
        <v>37</v>
      </c>
      <c r="C33" s="10">
        <f>+C34*2080</f>
        <v>34195.853327999997</v>
      </c>
      <c r="D33" s="10">
        <f t="shared" ref="D33:H33" si="5">+D34*2080</f>
        <v>35915.424979200005</v>
      </c>
      <c r="E33" s="10">
        <f t="shared" si="5"/>
        <v>37688.535206400004</v>
      </c>
      <c r="F33" s="10">
        <f t="shared" si="5"/>
        <v>39599.534582399996</v>
      </c>
      <c r="G33" s="10">
        <f t="shared" si="5"/>
        <v>41564.728108800002</v>
      </c>
      <c r="H33" s="10">
        <f t="shared" si="5"/>
        <v>43638.965510399998</v>
      </c>
      <c r="I33" s="11"/>
      <c r="J33" s="11"/>
      <c r="P33" s="19">
        <f>+P34*2080</f>
        <v>217058.80559999999</v>
      </c>
      <c r="Q33" s="19">
        <f>SUM(C33:H33)</f>
        <v>232603.0417152</v>
      </c>
      <c r="R33">
        <f>+P33-Q33</f>
        <v>-15544.236115200008</v>
      </c>
    </row>
    <row r="34" spans="1:18">
      <c r="A34" s="11"/>
      <c r="B34" s="10" t="s">
        <v>38</v>
      </c>
      <c r="C34" s="18">
        <f>16.117955+(16.117955*0.02)</f>
        <v>16.440314099999998</v>
      </c>
      <c r="D34" s="18">
        <f>16.928462+(16.928462*0.02)</f>
        <v>17.267031240000001</v>
      </c>
      <c r="E34" s="18">
        <f>17.764204+(17.764204*0.02)</f>
        <v>18.11948808</v>
      </c>
      <c r="F34" s="18">
        <f>18.664939+(18.664939*0.02)</f>
        <v>19.038237779999999</v>
      </c>
      <c r="G34" s="18">
        <f>19.591218+(19.591218*0.02)</f>
        <v>19.983042360000002</v>
      </c>
      <c r="H34" s="18">
        <f>20.568894+(20.568894*0.02)</f>
        <v>20.98027188</v>
      </c>
      <c r="I34" s="11"/>
      <c r="J34" s="11"/>
      <c r="O34" s="19">
        <f>15.1149+15.875+16.6587+17.5034+18.3721+19.2889</f>
        <v>102.813</v>
      </c>
      <c r="P34" s="19">
        <f>+O34*1.015</f>
        <v>104.35519499999999</v>
      </c>
      <c r="Q34" s="19">
        <f>SUM(C34:H34)</f>
        <v>111.82838544000001</v>
      </c>
      <c r="R34">
        <f>+P34-Q34</f>
        <v>-7.4731904400000104</v>
      </c>
    </row>
    <row r="35" spans="1:18">
      <c r="A35" s="11"/>
      <c r="B35" s="10"/>
      <c r="C35" s="12"/>
      <c r="D35" s="12"/>
      <c r="E35" s="12"/>
      <c r="F35" s="12"/>
      <c r="G35" s="12"/>
      <c r="H35" s="12"/>
      <c r="I35" s="12"/>
      <c r="J35" s="12"/>
    </row>
    <row r="36" spans="1:18">
      <c r="A36" s="9">
        <v>7</v>
      </c>
      <c r="B36" s="10" t="s">
        <v>39</v>
      </c>
      <c r="C36" s="10">
        <f>+C37*2080</f>
        <v>37143.315830399995</v>
      </c>
      <c r="D36" s="10">
        <f t="shared" ref="D36:H36" si="6">+D37*2080</f>
        <v>39032.681251199996</v>
      </c>
      <c r="E36" s="10">
        <f t="shared" si="6"/>
        <v>41002.682323199995</v>
      </c>
      <c r="F36" s="10">
        <f t="shared" si="6"/>
        <v>42973.338969600001</v>
      </c>
      <c r="G36" s="10">
        <f t="shared" si="6"/>
        <v>45129.304646399993</v>
      </c>
      <c r="H36" s="10">
        <f t="shared" si="6"/>
        <v>45741.611136</v>
      </c>
      <c r="I36" s="12"/>
      <c r="J36" s="12"/>
      <c r="P36" s="19">
        <f>+P37*2080</f>
        <v>234247.98487999995</v>
      </c>
      <c r="Q36" s="19">
        <f>SUM(C36:H36)</f>
        <v>251022.93415679995</v>
      </c>
      <c r="R36">
        <f>+P36-Q36</f>
        <v>-16774.949276800005</v>
      </c>
    </row>
    <row r="37" spans="1:18">
      <c r="A37" s="11"/>
      <c r="B37" s="11"/>
      <c r="C37" s="18">
        <f>17.507219+(17.507219*0.02)</f>
        <v>17.857363379999999</v>
      </c>
      <c r="D37" s="18">
        <f>18.397757+(18.397757*0.02)</f>
        <v>18.765712139999998</v>
      </c>
      <c r="E37" s="18">
        <f>19.326302+(19.326302*0.02)</f>
        <v>19.712828039999998</v>
      </c>
      <c r="F37" s="18">
        <f>20.255156+(20.255156*0.02)</f>
        <v>20.660259119999999</v>
      </c>
      <c r="G37" s="18">
        <f>21.271354+(21.271354*0.02)</f>
        <v>21.696781079999997</v>
      </c>
      <c r="H37" s="18">
        <f>21.55996+(21.55996*0.02)</f>
        <v>21.991159199999998</v>
      </c>
      <c r="I37" s="12"/>
      <c r="J37" s="12"/>
      <c r="O37" s="19">
        <f>16.4178+17.2529+18.1236+18.9947+19.9476+20.2183</f>
        <v>110.95489999999998</v>
      </c>
      <c r="P37" s="19">
        <f>+O37*1.015</f>
        <v>112.61922349999998</v>
      </c>
      <c r="Q37" s="19">
        <f>SUM(C37:H37)</f>
        <v>120.68410295999999</v>
      </c>
      <c r="R37">
        <f>+P37-Q37</f>
        <v>-8.0648794600000144</v>
      </c>
    </row>
    <row r="38" spans="1:18" ht="27.75" customHeight="1">
      <c r="A38" s="11"/>
      <c r="B38" s="11"/>
      <c r="C38" s="12"/>
      <c r="D38" s="12"/>
      <c r="E38" s="12"/>
      <c r="F38" s="12"/>
      <c r="G38" s="12"/>
      <c r="H38" s="12"/>
      <c r="I38" s="12"/>
      <c r="J38" s="12"/>
    </row>
    <row r="39" spans="1:18">
      <c r="A39" s="11"/>
      <c r="B39" s="11"/>
      <c r="C39" s="12"/>
      <c r="D39" s="12"/>
      <c r="E39" s="12"/>
      <c r="F39" s="12"/>
      <c r="G39" s="12"/>
      <c r="H39" s="12"/>
      <c r="I39" s="12"/>
      <c r="J39" s="12"/>
    </row>
    <row r="40" spans="1:18">
      <c r="A40" s="1" t="s">
        <v>0</v>
      </c>
      <c r="B40" s="1"/>
      <c r="C40" s="1"/>
      <c r="D40" s="1"/>
      <c r="E40" s="1"/>
      <c r="F40" s="1"/>
      <c r="G40" s="1"/>
      <c r="H40" s="1"/>
      <c r="I40" s="1"/>
      <c r="J40" s="1"/>
    </row>
    <row r="41" spans="1:18">
      <c r="A41" s="2" t="s">
        <v>1</v>
      </c>
      <c r="B41" s="1"/>
      <c r="C41" s="1"/>
      <c r="D41" s="1"/>
      <c r="E41" s="1"/>
      <c r="F41" s="1"/>
      <c r="G41" s="1"/>
      <c r="H41" s="1"/>
      <c r="I41" s="1"/>
      <c r="J41" s="1"/>
    </row>
    <row r="42" spans="1:18" ht="15.75" thickBot="1">
      <c r="A42" s="17" t="s">
        <v>59</v>
      </c>
      <c r="B42" s="16"/>
      <c r="C42" s="1"/>
      <c r="D42" s="1"/>
      <c r="E42" s="1"/>
      <c r="F42" s="1"/>
      <c r="G42" s="1"/>
      <c r="H42" s="1"/>
      <c r="I42" s="1"/>
      <c r="J42" s="1"/>
    </row>
    <row r="43" spans="1:18">
      <c r="A43" s="3" t="s">
        <v>3</v>
      </c>
      <c r="B43" s="4"/>
      <c r="C43" s="4"/>
      <c r="D43" s="4"/>
      <c r="E43" s="4"/>
      <c r="F43" s="4"/>
      <c r="G43" s="4"/>
      <c r="H43" s="4"/>
      <c r="I43" s="4"/>
      <c r="J43" s="5"/>
    </row>
    <row r="44" spans="1:18" ht="15.75" thickBot="1">
      <c r="A44" s="6" t="s">
        <v>4</v>
      </c>
      <c r="B44" s="7" t="s">
        <v>5</v>
      </c>
      <c r="C44" s="7" t="s">
        <v>6</v>
      </c>
      <c r="D44" s="7" t="s">
        <v>7</v>
      </c>
      <c r="E44" s="7" t="s">
        <v>8</v>
      </c>
      <c r="F44" s="7" t="s">
        <v>9</v>
      </c>
      <c r="G44" s="7" t="s">
        <v>10</v>
      </c>
      <c r="H44" s="7" t="s">
        <v>11</v>
      </c>
      <c r="I44" s="7" t="s">
        <v>12</v>
      </c>
      <c r="J44" s="8" t="s">
        <v>13</v>
      </c>
      <c r="O44" s="19">
        <v>1.0149999999999999</v>
      </c>
    </row>
    <row r="45" spans="1:18" ht="35.25" customHeight="1">
      <c r="A45" s="14">
        <v>8</v>
      </c>
      <c r="B45" s="10" t="s">
        <v>60</v>
      </c>
      <c r="C45" s="10">
        <f>+C46*2080</f>
        <v>37728.525244799996</v>
      </c>
      <c r="D45" s="10">
        <f t="shared" ref="D45:H45" si="7">+D46*2080</f>
        <v>39591.886214399994</v>
      </c>
      <c r="E45" s="10">
        <f t="shared" si="7"/>
        <v>41588.765836799997</v>
      </c>
      <c r="F45" s="10">
        <f t="shared" si="7"/>
        <v>43665.188486400002</v>
      </c>
      <c r="G45" s="10">
        <f t="shared" si="7"/>
        <v>45849.343862399997</v>
      </c>
      <c r="H45" s="10">
        <f t="shared" si="7"/>
        <v>46514.970403199994</v>
      </c>
      <c r="I45" s="11"/>
      <c r="J45" s="11"/>
      <c r="P45" s="19">
        <f>+P46*2080</f>
        <v>237901.83871999997</v>
      </c>
      <c r="Q45" s="19">
        <f>SUM(C45:H45)</f>
        <v>254938.68004799998</v>
      </c>
      <c r="R45">
        <f>+P45-Q45</f>
        <v>-17036.84132800001</v>
      </c>
    </row>
    <row r="46" spans="1:18">
      <c r="A46" s="11"/>
      <c r="B46" s="10" t="s">
        <v>61</v>
      </c>
      <c r="C46" s="18">
        <f>17.783053+(17.783053*0.02)</f>
        <v>18.138714059999998</v>
      </c>
      <c r="D46" s="18">
        <f>18.661334+(18.661334*0.02)</f>
        <v>19.034560679999998</v>
      </c>
      <c r="E46" s="18">
        <f>19.602548+(19.602548*0.02)</f>
        <v>19.994598959999998</v>
      </c>
      <c r="F46" s="18">
        <f>20.581254+(20.581254*0.02)</f>
        <v>20.992879080000002</v>
      </c>
      <c r="G46" s="18">
        <f>21.610739+(21.610739*0.02)</f>
        <v>22.042953779999998</v>
      </c>
      <c r="H46" s="18">
        <f>21.924477+(21.924477*0.02)</f>
        <v>22.362966539999999</v>
      </c>
      <c r="I46" s="12"/>
      <c r="J46" s="12"/>
      <c r="O46" s="19">
        <f>16.6764+17.5+18.3827+19.3005+20.2659+20.5601</f>
        <v>112.68559999999999</v>
      </c>
      <c r="P46" s="19">
        <f>+O46*1.015</f>
        <v>114.37588399999999</v>
      </c>
      <c r="Q46" s="19">
        <f>SUM(C46:H46)</f>
        <v>122.5666731</v>
      </c>
      <c r="R46">
        <f>+P46-Q46</f>
        <v>-8.1907891000000177</v>
      </c>
    </row>
    <row r="47" spans="1:18">
      <c r="A47" s="11"/>
      <c r="B47" s="10" t="s">
        <v>41</v>
      </c>
      <c r="C47" s="12"/>
      <c r="D47" s="12"/>
      <c r="E47" s="12"/>
      <c r="F47" s="12"/>
      <c r="G47" s="12"/>
      <c r="H47" s="12"/>
      <c r="I47" s="12"/>
      <c r="J47" s="12"/>
    </row>
    <row r="48" spans="1:18">
      <c r="A48" s="11"/>
      <c r="B48" s="10"/>
      <c r="C48" s="12"/>
      <c r="D48" s="12"/>
      <c r="E48" s="12"/>
      <c r="F48" s="12"/>
      <c r="G48" s="12"/>
      <c r="H48" s="12"/>
      <c r="I48" s="12"/>
      <c r="J48" s="12"/>
    </row>
    <row r="49" spans="1:18">
      <c r="A49" s="14">
        <v>9</v>
      </c>
      <c r="B49" s="10" t="s">
        <v>42</v>
      </c>
      <c r="C49" s="10">
        <f>+C50*2080</f>
        <v>38900.0366976</v>
      </c>
      <c r="D49" s="10">
        <f t="shared" ref="D49:H49" si="8">+D50*2080</f>
        <v>40789.183593599999</v>
      </c>
      <c r="E49" s="10">
        <f t="shared" si="8"/>
        <v>42839.601791999994</v>
      </c>
      <c r="F49" s="10">
        <f t="shared" si="8"/>
        <v>44969.344492800003</v>
      </c>
      <c r="G49" s="10">
        <f t="shared" si="8"/>
        <v>47232.824371199997</v>
      </c>
      <c r="H49" s="10">
        <f t="shared" si="8"/>
        <v>47952.863587200001</v>
      </c>
      <c r="I49" s="11"/>
      <c r="J49" s="11"/>
      <c r="P49" s="19">
        <f>+P50*2080</f>
        <v>245129.53191999995</v>
      </c>
      <c r="Q49" s="19">
        <f>SUM(C49:H49)</f>
        <v>262683.85453440004</v>
      </c>
      <c r="R49">
        <f>+P49-Q49</f>
        <v>-17554.322614400095</v>
      </c>
    </row>
    <row r="50" spans="1:18">
      <c r="A50" s="10"/>
      <c r="B50" s="10" t="s">
        <v>43</v>
      </c>
      <c r="C50" s="18">
        <f>18.335236+(18.335236*0.02)</f>
        <v>18.70194072</v>
      </c>
      <c r="D50" s="18">
        <f>19.225671+(19.225671*0.02)</f>
        <v>19.61018442</v>
      </c>
      <c r="E50" s="18">
        <f>20.19212+(20.19212*0.02)</f>
        <v>20.595962399999998</v>
      </c>
      <c r="F50" s="18">
        <f>21.195958+(21.195958*0.02)</f>
        <v>21.619877160000001</v>
      </c>
      <c r="G50" s="18">
        <f>22.262832+(22.262832*0.02)</f>
        <v>22.70808864</v>
      </c>
      <c r="H50" s="18">
        <f>22.602217+(22.602217*0.02)</f>
        <v>23.05426134</v>
      </c>
      <c r="I50" s="12"/>
      <c r="J50" s="12"/>
      <c r="O50" s="19">
        <f>17.1942+18.0293+18.9356+19.8769+20.8774+21.1957</f>
        <v>116.1091</v>
      </c>
      <c r="P50" s="19">
        <f>+O50*1.015</f>
        <v>117.85073649999998</v>
      </c>
      <c r="Q50" s="19">
        <f>SUM(C50:H50)</f>
        <v>126.29031467999999</v>
      </c>
      <c r="R50">
        <f>+P50-Q50</f>
        <v>-8.4395781800000123</v>
      </c>
    </row>
    <row r="51" spans="1:18">
      <c r="B51" s="10" t="s">
        <v>44</v>
      </c>
    </row>
    <row r="52" spans="1:18">
      <c r="B52" s="10" t="s">
        <v>45</v>
      </c>
    </row>
    <row r="54" spans="1:18">
      <c r="A54" s="9">
        <v>10</v>
      </c>
      <c r="B54" s="10" t="s">
        <v>46</v>
      </c>
      <c r="C54" s="10">
        <f>+C55*2080</f>
        <v>33893.415004800001</v>
      </c>
      <c r="D54" s="10">
        <f t="shared" ref="D54:J54" si="9">+D55*2080</f>
        <v>35731.645622399999</v>
      </c>
      <c r="E54" s="10">
        <f t="shared" si="9"/>
        <v>37594.788067200003</v>
      </c>
      <c r="F54" s="10">
        <f t="shared" si="9"/>
        <v>39511.250563200003</v>
      </c>
      <c r="G54" s="10">
        <f t="shared" si="9"/>
        <v>41588.765836799997</v>
      </c>
      <c r="H54" s="10">
        <f t="shared" si="9"/>
        <v>43825.148639999992</v>
      </c>
      <c r="I54" s="10">
        <f t="shared" si="9"/>
        <v>46115.7255936</v>
      </c>
      <c r="J54" s="10">
        <f t="shared" si="9"/>
        <v>48590.300428800001</v>
      </c>
      <c r="P54" s="19">
        <f>+P55*2080</f>
        <v>305008.86415999994</v>
      </c>
      <c r="Q54" s="19">
        <f>SUM(C54:J54)</f>
        <v>326851.03975679999</v>
      </c>
      <c r="R54">
        <f>+P54-Q54</f>
        <v>-21842.175596800051</v>
      </c>
    </row>
    <row r="55" spans="1:18">
      <c r="A55" s="10"/>
      <c r="B55" s="10"/>
      <c r="C55" s="18">
        <f>15.975403+(15.975403*0.02)</f>
        <v>16.29491106</v>
      </c>
      <c r="D55" s="18">
        <f>16.841839+(16.841839*0.02)</f>
        <v>17.178675779999999</v>
      </c>
      <c r="E55" s="18">
        <f>17.720017+(17.720017*0.02)</f>
        <v>18.07441734</v>
      </c>
      <c r="F55" s="18">
        <f>18.623327+(18.623327*0.02)</f>
        <v>18.995793540000001</v>
      </c>
      <c r="G55" s="18">
        <f>19.602548+(19.602548*0.02)</f>
        <v>19.994598959999998</v>
      </c>
      <c r="H55" s="18">
        <f>20.65665+(20.65665*0.02)</f>
        <v>21.069782999999997</v>
      </c>
      <c r="I55" s="18">
        <f>21.736296+(21.736296*0.02)</f>
        <v>22.171021920000001</v>
      </c>
      <c r="J55" s="18">
        <f>22.902668+(22.902668*0.02)</f>
        <v>23.360721359999999</v>
      </c>
      <c r="O55" s="19">
        <f>14.9813+15.7938+16.6173+17.4644+18.3827+19.3712+20.3837+21.4774</f>
        <v>144.4718</v>
      </c>
      <c r="P55" s="19">
        <f>+O55*1.015</f>
        <v>146.63887699999998</v>
      </c>
      <c r="Q55" s="19">
        <f>SUM(C55:J55)</f>
        <v>157.13992295999998</v>
      </c>
      <c r="R55">
        <f>+P55-Q55</f>
        <v>-10.501045959999999</v>
      </c>
    </row>
    <row r="56" spans="1:18">
      <c r="A56" s="11"/>
      <c r="B56" s="11"/>
      <c r="C56" s="11"/>
      <c r="D56" s="11"/>
      <c r="E56" s="13"/>
      <c r="F56" s="13"/>
      <c r="G56" s="11"/>
      <c r="H56" s="11"/>
      <c r="I56" s="11"/>
      <c r="J56" s="11"/>
    </row>
    <row r="57" spans="1:18">
      <c r="A57" s="9">
        <v>11</v>
      </c>
      <c r="B57" s="10" t="s">
        <v>47</v>
      </c>
      <c r="C57" s="10">
        <f>+C58*2080</f>
        <v>35065.800556800001</v>
      </c>
      <c r="D57" s="10">
        <f t="shared" ref="D57:J57" si="10">+D58*2080</f>
        <v>38900.0366976</v>
      </c>
      <c r="E57" s="10">
        <f t="shared" si="10"/>
        <v>38794.489219199997</v>
      </c>
      <c r="F57" s="10">
        <f t="shared" si="10"/>
        <v>39725.404867199999</v>
      </c>
      <c r="G57" s="10">
        <f t="shared" si="10"/>
        <v>42787.374364800002</v>
      </c>
      <c r="H57" s="10">
        <f t="shared" si="10"/>
        <v>44996.441568000002</v>
      </c>
      <c r="I57" s="10">
        <f t="shared" si="10"/>
        <v>47286.144422400001</v>
      </c>
      <c r="J57" s="10">
        <f t="shared" si="10"/>
        <v>49762.685980799994</v>
      </c>
      <c r="P57" s="19">
        <f>+P58*2080</f>
        <v>314776.75319999998</v>
      </c>
      <c r="Q57" s="19">
        <f>SUM(C57:J57)</f>
        <v>337318.37767680001</v>
      </c>
      <c r="R57">
        <f>+P57-Q57</f>
        <v>-22541.624476800032</v>
      </c>
    </row>
    <row r="58" spans="1:18">
      <c r="A58" s="11"/>
      <c r="B58" s="10"/>
      <c r="C58" s="18">
        <f>16.527998+(16.527998*0.02)</f>
        <v>16.858557959999999</v>
      </c>
      <c r="D58" s="18">
        <f>18.335236+(18.335236*0.02)</f>
        <v>18.70194072</v>
      </c>
      <c r="E58" s="18">
        <f>18.285487+(18.285487*0.02)</f>
        <v>18.65119674</v>
      </c>
      <c r="F58" s="18">
        <f>18.724267+(18.724267*0.02)</f>
        <v>19.098752340000001</v>
      </c>
      <c r="G58" s="18">
        <f>20.167503+(20.167503*0.02)</f>
        <v>20.570853060000001</v>
      </c>
      <c r="H58" s="18">
        <f>21.20873+(21.20873*0.02)</f>
        <v>21.6329046</v>
      </c>
      <c r="I58" s="18">
        <f>22.287964+(22.287964*0.02)</f>
        <v>22.73372328</v>
      </c>
      <c r="J58" s="18">
        <f>23.455263+(23.455263*0.02)</f>
        <v>23.924368259999998</v>
      </c>
      <c r="O58" s="19">
        <f>15.4995+17.1942+17.1476+17.5591+18.9125+19.8889+20.901+21.9957</f>
        <v>149.0985</v>
      </c>
      <c r="P58" s="19">
        <f>+O58*1.015</f>
        <v>151.33497749999998</v>
      </c>
      <c r="Q58" s="19">
        <f>SUM(C58:J58)</f>
        <v>162.17229696000001</v>
      </c>
      <c r="R58">
        <f>+P58-Q58</f>
        <v>-10.837319460000032</v>
      </c>
    </row>
    <row r="59" spans="1:18">
      <c r="A59" s="11"/>
      <c r="B59" s="11"/>
      <c r="C59" s="11"/>
      <c r="D59" s="11"/>
      <c r="E59" s="13"/>
      <c r="F59" s="13"/>
      <c r="G59" s="11"/>
      <c r="H59" s="11"/>
      <c r="I59" s="11"/>
      <c r="J59" s="11"/>
    </row>
    <row r="60" spans="1:18">
      <c r="A60" s="9">
        <v>12</v>
      </c>
      <c r="B60" s="10" t="s">
        <v>48</v>
      </c>
      <c r="C60" s="10">
        <f>+C61*2080</f>
        <v>40657.850188800003</v>
      </c>
      <c r="D60" s="10">
        <f t="shared" ref="D60:H60" si="11">+D61*2080</f>
        <v>42706.957238399998</v>
      </c>
      <c r="E60" s="10">
        <f t="shared" si="11"/>
        <v>44837.792563199997</v>
      </c>
      <c r="F60" s="10">
        <f t="shared" si="11"/>
        <v>47073.956841600004</v>
      </c>
      <c r="G60" s="10">
        <f t="shared" si="11"/>
        <v>49416.979747199999</v>
      </c>
      <c r="H60" s="10">
        <f t="shared" si="11"/>
        <v>50295.886492799997</v>
      </c>
      <c r="I60" s="11"/>
      <c r="J60" s="11"/>
      <c r="P60" s="19">
        <f>+P61*2080</f>
        <v>256612.55983999994</v>
      </c>
      <c r="Q60" s="19">
        <f>SUM(C60:J60)</f>
        <v>274989.42307200003</v>
      </c>
      <c r="R60">
        <f>+P60-Q60</f>
        <v>-18376.863232000091</v>
      </c>
    </row>
    <row r="61" spans="1:18">
      <c r="A61" s="11"/>
      <c r="B61" s="10" t="s">
        <v>49</v>
      </c>
      <c r="C61" s="18">
        <f>19.163768+(19.163768*0.02)</f>
        <v>19.54704336</v>
      </c>
      <c r="D61" s="18">
        <f>20.129599+(20.129599*0.02)</f>
        <v>20.532190979999999</v>
      </c>
      <c r="E61" s="18">
        <f>21.133952+(21.133952*0.02)</f>
        <v>21.556631039999999</v>
      </c>
      <c r="F61" s="18">
        <f>22.187951+(22.187951*0.02)</f>
        <v>22.631710020000003</v>
      </c>
      <c r="G61" s="18">
        <f>23.292317+(23.292317*0.02)</f>
        <v>23.758163339999999</v>
      </c>
      <c r="H61" s="18">
        <f>23.706583+(23.706583*0.02)</f>
        <v>24.18071466</v>
      </c>
      <c r="I61" s="12"/>
      <c r="J61" s="12"/>
      <c r="O61" s="19">
        <f>17.9712+18.8769+19.8188+20.8072+21.8428+22.2313</f>
        <v>121.54819999999999</v>
      </c>
      <c r="P61" s="19">
        <f>+O61*1.015</f>
        <v>123.37142299999998</v>
      </c>
      <c r="Q61" s="19">
        <f>SUM(C61:J61)</f>
        <v>132.20645339999999</v>
      </c>
      <c r="R61">
        <f>+P61-Q61</f>
        <v>-8.8350304000000079</v>
      </c>
    </row>
    <row r="62" spans="1:18">
      <c r="A62" s="11"/>
      <c r="C62" s="11"/>
      <c r="D62" s="11"/>
      <c r="E62" s="11"/>
      <c r="F62" s="11"/>
      <c r="G62" s="11"/>
      <c r="H62" s="11"/>
      <c r="I62" s="11"/>
      <c r="J62" s="11"/>
    </row>
    <row r="63" spans="1:18">
      <c r="A63" s="9">
        <v>13</v>
      </c>
      <c r="B63" s="10" t="s">
        <v>50</v>
      </c>
      <c r="C63" s="10">
        <f>+C64*2080</f>
        <v>41189.739552000006</v>
      </c>
      <c r="D63" s="10">
        <f t="shared" ref="D63:H63" si="12">+D64*2080</f>
        <v>43186.4006496</v>
      </c>
      <c r="E63" s="10">
        <f t="shared" si="12"/>
        <v>45075.766070400001</v>
      </c>
      <c r="F63" s="10">
        <f t="shared" si="12"/>
        <v>47073.956841600004</v>
      </c>
      <c r="G63" s="10">
        <f t="shared" si="12"/>
        <v>49043.739388799993</v>
      </c>
      <c r="H63" s="10">
        <f t="shared" si="12"/>
        <v>51013.740460799992</v>
      </c>
      <c r="I63" s="11"/>
      <c r="J63" s="11"/>
      <c r="P63" s="19">
        <f>+P64*2080</f>
        <v>258100.32247999994</v>
      </c>
      <c r="Q63" s="19">
        <f>SUM(C63:J63)</f>
        <v>276583.3429632</v>
      </c>
      <c r="R63">
        <f>+P63-Q63</f>
        <v>-18483.02048320006</v>
      </c>
    </row>
    <row r="64" spans="1:18">
      <c r="A64" s="14"/>
      <c r="B64" s="10"/>
      <c r="C64" s="18">
        <f>19.41447+(19.41447*0.02)</f>
        <v>19.802759400000003</v>
      </c>
      <c r="D64" s="18">
        <f>20.355581+(20.355581*0.02)</f>
        <v>20.762692619999999</v>
      </c>
      <c r="E64" s="18">
        <f>21.246119+(21.246119*0.02)</f>
        <v>21.671041380000002</v>
      </c>
      <c r="F64" s="18">
        <f>22.187951+(22.187951*0.02)</f>
        <v>22.631710020000003</v>
      </c>
      <c r="G64" s="18">
        <f>23.116393+(23.116393*0.02)</f>
        <v>23.578720859999997</v>
      </c>
      <c r="H64" s="18">
        <f>24.044938+(24.044938*0.02)</f>
        <v>24.525836759999997</v>
      </c>
      <c r="I64" s="12"/>
      <c r="J64" s="12"/>
      <c r="O64" s="19">
        <f>18.2063+19.0889+19.924+20.8072+21.6779+22.5486</f>
        <v>122.25289999999998</v>
      </c>
      <c r="P64" s="19">
        <f>+O64*1.015</f>
        <v>124.08669349999997</v>
      </c>
      <c r="Q64" s="19">
        <f>SUM(C64:J64)</f>
        <v>132.97276103999999</v>
      </c>
      <c r="R64">
        <f>+P64-Q64</f>
        <v>-8.8860675400000275</v>
      </c>
    </row>
    <row r="65" spans="1:18">
      <c r="A65" s="14"/>
      <c r="B65" s="11"/>
      <c r="C65" s="11"/>
      <c r="D65" s="11"/>
      <c r="E65" s="11"/>
      <c r="F65" s="11"/>
      <c r="G65" s="11"/>
      <c r="H65" s="11"/>
      <c r="I65" s="11"/>
      <c r="J65" s="11"/>
    </row>
    <row r="66" spans="1:18">
      <c r="A66" s="9">
        <v>14</v>
      </c>
      <c r="B66" s="10" t="s">
        <v>51</v>
      </c>
      <c r="C66" s="10">
        <f>+C67*2080</f>
        <v>41109.103900800001</v>
      </c>
      <c r="D66" s="10">
        <f t="shared" ref="D66:H66" si="13">+D67*2080</f>
        <v>44437.455129600006</v>
      </c>
      <c r="E66" s="10">
        <f t="shared" si="13"/>
        <v>46222.365696000001</v>
      </c>
      <c r="F66" s="10">
        <f t="shared" si="13"/>
        <v>48058.411065599998</v>
      </c>
      <c r="G66" s="10">
        <f t="shared" si="13"/>
        <v>49922.427609600003</v>
      </c>
      <c r="H66" s="10">
        <f t="shared" si="13"/>
        <v>51732.468527999998</v>
      </c>
      <c r="I66" s="11"/>
      <c r="J66" s="11"/>
      <c r="P66" s="19">
        <f>+P67*2080</f>
        <v>262671.70383999997</v>
      </c>
      <c r="Q66" s="19">
        <f>SUM(C66:J66)</f>
        <v>281482.23192960001</v>
      </c>
      <c r="R66">
        <f>+P66-Q66</f>
        <v>-18810.528089600033</v>
      </c>
    </row>
    <row r="67" spans="1:18">
      <c r="A67" s="14"/>
      <c r="B67" s="10" t="s">
        <v>52</v>
      </c>
      <c r="C67" s="18">
        <f>19.376463+(19.376463*0.02)</f>
        <v>19.763992260000002</v>
      </c>
      <c r="D67" s="18">
        <f>20.945256+(20.945256*0.02)</f>
        <v>21.364161120000002</v>
      </c>
      <c r="E67" s="18">
        <f>21.78656+(21.78656*0.02)</f>
        <v>22.222291200000001</v>
      </c>
      <c r="F67" s="18">
        <f>22.651966+(22.651966*0.02)</f>
        <v>23.10500532</v>
      </c>
      <c r="G67" s="18">
        <f>23.530556+(23.530556*0.02)</f>
        <v>24.001167120000002</v>
      </c>
      <c r="H67" s="18">
        <f>24.383705+(24.383705*0.02)</f>
        <v>24.871379099999999</v>
      </c>
      <c r="I67" s="12"/>
      <c r="J67" s="12"/>
      <c r="O67" s="19">
        <f>18.1707+19.6418+20.4308+21.2423+22.0663+22.8663</f>
        <v>124.4182</v>
      </c>
      <c r="P67" s="19">
        <f>+O67*1.015</f>
        <v>126.28447299999999</v>
      </c>
      <c r="Q67" s="19">
        <f>SUM(C67:J67)</f>
        <v>135.32799612000002</v>
      </c>
      <c r="R67">
        <f>+P67-Q67</f>
        <v>-9.0435231200000317</v>
      </c>
    </row>
    <row r="68" spans="1:18">
      <c r="A68" s="14"/>
      <c r="B68" s="10" t="s">
        <v>53</v>
      </c>
      <c r="C68" s="18"/>
      <c r="D68" s="18"/>
      <c r="E68" s="18"/>
      <c r="F68" s="18"/>
      <c r="G68" s="18"/>
      <c r="H68" s="18"/>
      <c r="I68" s="12"/>
      <c r="J68" s="12"/>
    </row>
    <row r="69" spans="1:18">
      <c r="A69" s="14"/>
      <c r="B69" s="11"/>
      <c r="C69" s="11"/>
      <c r="D69" s="11"/>
      <c r="E69" s="11"/>
      <c r="F69" s="11"/>
      <c r="G69" s="11"/>
      <c r="H69" s="11"/>
      <c r="I69" s="11"/>
      <c r="J69" s="11"/>
    </row>
    <row r="70" spans="1:18">
      <c r="A70" s="9">
        <v>15</v>
      </c>
      <c r="B70" s="10" t="s">
        <v>54</v>
      </c>
      <c r="C70" s="10">
        <f>+C71*2080</f>
        <v>44651.609433599995</v>
      </c>
      <c r="D70" s="10">
        <f t="shared" ref="D70:H70" si="14">+D71*2080</f>
        <v>46887.992236799997</v>
      </c>
      <c r="E70" s="10">
        <f t="shared" si="14"/>
        <v>49203.699542399998</v>
      </c>
      <c r="F70" s="10">
        <f t="shared" si="14"/>
        <v>51680.459625599993</v>
      </c>
      <c r="G70" s="10">
        <f t="shared" si="14"/>
        <v>54288.771638399994</v>
      </c>
      <c r="H70" s="10">
        <f t="shared" si="14"/>
        <v>55487.380166399998</v>
      </c>
      <c r="I70" s="11"/>
      <c r="J70" s="11"/>
      <c r="P70" s="19">
        <f>+P71*2080</f>
        <v>282004.80671999999</v>
      </c>
      <c r="Q70" s="19">
        <f>SUM(C70:J70)</f>
        <v>302199.91264319996</v>
      </c>
      <c r="R70">
        <f>+P70-Q70</f>
        <v>-20195.105923199968</v>
      </c>
    </row>
    <row r="71" spans="1:18">
      <c r="A71" s="11"/>
      <c r="B71" s="10" t="s">
        <v>55</v>
      </c>
      <c r="C71" s="18">
        <f>21.046196+(21.046196*0.02)</f>
        <v>21.467119919999998</v>
      </c>
      <c r="D71" s="18">
        <f>22.100298+(22.100298*0.02)</f>
        <v>22.542303959999998</v>
      </c>
      <c r="E71" s="18">
        <f>23.191789+(23.191789*0.02)</f>
        <v>23.65562478</v>
      </c>
      <c r="F71" s="18">
        <f>24.359191+(24.359191*0.02)</f>
        <v>24.846374819999998</v>
      </c>
      <c r="G71" s="18">
        <f>25.588599+(25.588599*0.02)</f>
        <v>26.100370979999997</v>
      </c>
      <c r="H71" s="18">
        <f>26.153554+(26.153554*0.02)</f>
        <v>26.676625080000001</v>
      </c>
      <c r="I71" s="15"/>
      <c r="J71" s="15"/>
      <c r="O71" s="19">
        <f>19.7365+20.725+21.7486+22.8433+23.9962+24.526</f>
        <v>133.57560000000001</v>
      </c>
      <c r="P71" s="19">
        <f>+O71*1.015</f>
        <v>135.57923399999999</v>
      </c>
      <c r="Q71" s="19">
        <f>SUM(C71:J71)</f>
        <v>145.28841953999998</v>
      </c>
      <c r="R71">
        <f>+P71-Q71</f>
        <v>-9.7091855399999929</v>
      </c>
    </row>
    <row r="72" spans="1:18">
      <c r="A72" s="11"/>
      <c r="B72" s="10" t="s">
        <v>56</v>
      </c>
      <c r="C72" s="11"/>
      <c r="D72" s="11"/>
      <c r="E72" s="11"/>
      <c r="F72" s="11"/>
      <c r="G72" s="11"/>
      <c r="H72" s="11"/>
      <c r="I72" s="11"/>
      <c r="J72" s="11"/>
    </row>
    <row r="73" spans="1:18">
      <c r="A73" s="11"/>
      <c r="B73" s="10" t="s">
        <v>57</v>
      </c>
      <c r="C73" s="13"/>
      <c r="D73" s="11"/>
      <c r="E73" s="11"/>
      <c r="F73" s="11"/>
      <c r="G73" s="11"/>
      <c r="H73" s="11"/>
      <c r="I73" s="11"/>
      <c r="J73" s="11"/>
    </row>
    <row r="74" spans="1:18">
      <c r="B74" s="10" t="s">
        <v>58</v>
      </c>
      <c r="G74" s="22"/>
    </row>
  </sheetData>
  <pageMargins left="0.75" right="0.5" top="0.25" bottom="0.25" header="0.5" footer="0.5"/>
  <pageSetup scale="83" fitToHeight="0" orientation="landscape" r:id="rId1"/>
  <headerFooter alignWithMargins="0"/>
  <rowBreaks count="1" manualBreakCount="1">
    <brk id="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2"/>
  <sheetViews>
    <sheetView topLeftCell="A3" zoomScale="75" zoomScaleNormal="75" workbookViewId="0">
      <selection activeCell="C46" sqref="C46"/>
    </sheetView>
  </sheetViews>
  <sheetFormatPr defaultRowHeight="15"/>
  <cols>
    <col min="1" max="1" width="7.88671875" bestFit="1" customWidth="1"/>
    <col min="2" max="2" width="28.88671875" bestFit="1" customWidth="1"/>
    <col min="3" max="3" width="46.44140625" bestFit="1" customWidth="1"/>
    <col min="4" max="7" width="11.5546875" bestFit="1" customWidth="1"/>
    <col min="8" max="8" width="12" bestFit="1" customWidth="1"/>
    <col min="9" max="9" width="11.5546875" bestFit="1" customWidth="1"/>
    <col min="13" max="13" width="11.44140625" style="19" bestFit="1" customWidth="1"/>
    <col min="14" max="15" width="12.88671875" style="19" bestFit="1" customWidth="1"/>
  </cols>
  <sheetData>
    <row r="1" spans="1:15" s="45" customFormat="1">
      <c r="A1" s="31" t="s">
        <v>0</v>
      </c>
      <c r="B1" s="31"/>
      <c r="C1" s="31"/>
      <c r="D1" s="31"/>
      <c r="E1" s="31"/>
      <c r="F1" s="31"/>
      <c r="G1" s="31"/>
      <c r="H1" s="31"/>
      <c r="I1" s="31"/>
      <c r="M1" s="58"/>
      <c r="N1" s="58"/>
      <c r="O1" s="58"/>
    </row>
    <row r="2" spans="1:15" s="45" customFormat="1">
      <c r="A2" s="32" t="s">
        <v>1</v>
      </c>
      <c r="B2" s="31"/>
      <c r="C2" s="31"/>
      <c r="D2" s="31"/>
      <c r="E2" s="31"/>
      <c r="F2" s="31"/>
      <c r="G2" s="31"/>
      <c r="H2" s="31"/>
      <c r="I2" s="31"/>
      <c r="M2" s="58"/>
      <c r="N2" s="58"/>
      <c r="O2" s="58"/>
    </row>
    <row r="3" spans="1:15" s="45" customFormat="1" ht="15.75" thickBot="1">
      <c r="A3" s="61" t="s">
        <v>62</v>
      </c>
      <c r="B3" s="61"/>
      <c r="C3" s="61"/>
      <c r="D3" s="61"/>
      <c r="E3" s="61"/>
      <c r="F3" s="61"/>
      <c r="G3" s="61"/>
      <c r="H3" s="61"/>
      <c r="I3" s="61"/>
      <c r="M3" s="58"/>
      <c r="N3" s="58"/>
      <c r="O3" s="58"/>
    </row>
    <row r="4" spans="1:15" s="45" customFormat="1">
      <c r="A4" s="33" t="s">
        <v>3</v>
      </c>
      <c r="B4" s="34"/>
      <c r="C4" s="34"/>
      <c r="D4" s="34"/>
      <c r="E4" s="34"/>
      <c r="F4" s="34"/>
      <c r="G4" s="34"/>
      <c r="H4" s="34"/>
      <c r="I4" s="35"/>
      <c r="M4" s="58"/>
      <c r="N4" s="58"/>
      <c r="O4" s="58"/>
    </row>
    <row r="5" spans="1:15" s="45" customFormat="1" ht="15.75" thickBot="1">
      <c r="A5" s="36" t="s">
        <v>4</v>
      </c>
      <c r="B5" s="37" t="s">
        <v>5</v>
      </c>
      <c r="C5" s="37" t="s">
        <v>63</v>
      </c>
      <c r="D5" s="37" t="s">
        <v>64</v>
      </c>
      <c r="E5" s="37" t="s">
        <v>65</v>
      </c>
      <c r="F5" s="37" t="s">
        <v>66</v>
      </c>
      <c r="G5" s="37" t="s">
        <v>67</v>
      </c>
      <c r="H5" s="37" t="s">
        <v>75</v>
      </c>
      <c r="I5" s="38"/>
      <c r="M5" s="58"/>
      <c r="N5" s="58"/>
      <c r="O5" s="58"/>
    </row>
    <row r="6" spans="1:15" s="45" customFormat="1">
      <c r="A6" s="39"/>
      <c r="B6" s="39"/>
      <c r="C6" s="39"/>
      <c r="D6" s="39"/>
      <c r="E6" s="39"/>
      <c r="F6" s="39"/>
      <c r="G6" s="39"/>
      <c r="H6" s="39"/>
      <c r="I6" s="39"/>
      <c r="M6" s="58"/>
      <c r="N6" s="58"/>
      <c r="O6" s="58"/>
    </row>
    <row r="7" spans="1:15" s="45" customFormat="1">
      <c r="A7" s="40">
        <v>1</v>
      </c>
      <c r="B7" s="41" t="s">
        <v>18</v>
      </c>
      <c r="C7" s="42">
        <f t="shared" ref="C7:H7" si="0">+C8*2080</f>
        <v>34984.768000000004</v>
      </c>
      <c r="D7" s="42">
        <f t="shared" si="0"/>
        <v>36546.432000000001</v>
      </c>
      <c r="E7" s="42">
        <f t="shared" si="0"/>
        <v>38135.759999999995</v>
      </c>
      <c r="F7" s="42">
        <f t="shared" si="0"/>
        <v>39810.576000000001</v>
      </c>
      <c r="G7" s="42">
        <f t="shared" si="0"/>
        <v>41456.688000000002</v>
      </c>
      <c r="H7" s="42">
        <f t="shared" si="0"/>
        <v>41456.688000000002</v>
      </c>
      <c r="I7" s="39"/>
      <c r="M7" s="58"/>
      <c r="N7" s="58"/>
      <c r="O7" s="58"/>
    </row>
    <row r="8" spans="1:15" s="45" customFormat="1">
      <c r="A8" s="39"/>
      <c r="B8" s="41" t="s">
        <v>19</v>
      </c>
      <c r="C8" s="43">
        <v>16.819600000000001</v>
      </c>
      <c r="D8" s="43">
        <v>17.570399999999999</v>
      </c>
      <c r="E8" s="43">
        <v>18.334499999999998</v>
      </c>
      <c r="F8" s="43">
        <v>19.139700000000001</v>
      </c>
      <c r="G8" s="43">
        <v>19.931100000000001</v>
      </c>
      <c r="H8" s="43">
        <v>19.931100000000001</v>
      </c>
      <c r="I8" s="44"/>
      <c r="M8" s="58"/>
      <c r="N8" s="58"/>
      <c r="O8" s="58"/>
    </row>
    <row r="9" spans="1:15" s="45" customFormat="1">
      <c r="A9" s="39"/>
      <c r="B9" s="41" t="s">
        <v>68</v>
      </c>
      <c r="C9" s="39"/>
      <c r="D9" s="39"/>
      <c r="E9" s="39"/>
      <c r="F9" s="39"/>
      <c r="G9" s="39"/>
      <c r="H9" s="39"/>
      <c r="I9" s="39"/>
      <c r="M9" s="58"/>
      <c r="N9" s="58"/>
      <c r="O9" s="58"/>
    </row>
    <row r="10" spans="1:15" s="45" customFormat="1">
      <c r="A10" s="39"/>
      <c r="B10" s="41" t="s">
        <v>69</v>
      </c>
      <c r="C10" s="39"/>
      <c r="D10" s="39"/>
      <c r="E10" s="39"/>
      <c r="F10" s="39"/>
      <c r="G10" s="39"/>
      <c r="H10" s="39"/>
      <c r="I10" s="39"/>
      <c r="M10" s="58"/>
      <c r="N10" s="58"/>
      <c r="O10" s="58"/>
    </row>
    <row r="11" spans="1:15" s="45" customFormat="1">
      <c r="A11" s="39"/>
      <c r="C11" s="39"/>
      <c r="D11" s="46"/>
      <c r="E11" s="46"/>
      <c r="F11" s="39"/>
      <c r="G11" s="39"/>
      <c r="H11" s="39"/>
      <c r="I11" s="39"/>
      <c r="M11" s="58"/>
      <c r="N11" s="58"/>
      <c r="O11" s="58"/>
    </row>
    <row r="12" spans="1:15" s="45" customFormat="1">
      <c r="A12" s="40">
        <v>2</v>
      </c>
      <c r="B12" s="41" t="s">
        <v>24</v>
      </c>
      <c r="C12" s="42">
        <f t="shared" ref="C12:G12" si="1">+C13*2080</f>
        <v>37652.160000000003</v>
      </c>
      <c r="D12" s="42">
        <f t="shared" si="1"/>
        <v>39299.311999999998</v>
      </c>
      <c r="E12" s="42">
        <f t="shared" si="1"/>
        <v>41057.951999999997</v>
      </c>
      <c r="F12" s="42">
        <f t="shared" si="1"/>
        <v>42874.415999999997</v>
      </c>
      <c r="G12" s="42">
        <f t="shared" si="1"/>
        <v>44832.32</v>
      </c>
      <c r="H12" s="47">
        <f>H13*2080</f>
        <v>44916.976000000002</v>
      </c>
      <c r="I12" s="39"/>
      <c r="M12" s="58"/>
      <c r="N12" s="58"/>
      <c r="O12" s="58"/>
    </row>
    <row r="13" spans="1:15" s="45" customFormat="1">
      <c r="A13" s="39"/>
      <c r="B13" s="41" t="s">
        <v>25</v>
      </c>
      <c r="C13" s="43">
        <v>18.102</v>
      </c>
      <c r="D13" s="43">
        <v>18.893899999999999</v>
      </c>
      <c r="E13" s="43">
        <v>19.7394</v>
      </c>
      <c r="F13" s="43">
        <v>20.6127</v>
      </c>
      <c r="G13" s="43">
        <v>21.553999999999998</v>
      </c>
      <c r="H13" s="48">
        <v>21.5947</v>
      </c>
      <c r="I13" s="44"/>
      <c r="M13" s="58"/>
      <c r="N13" s="58"/>
      <c r="O13" s="58"/>
    </row>
    <row r="14" spans="1:15" s="45" customFormat="1">
      <c r="A14" s="39"/>
      <c r="B14" s="41" t="s">
        <v>26</v>
      </c>
      <c r="C14" s="39"/>
      <c r="D14" s="39"/>
      <c r="E14" s="39"/>
      <c r="F14" s="39"/>
      <c r="G14" s="39"/>
      <c r="H14" s="39"/>
      <c r="I14" s="39"/>
      <c r="M14" s="58"/>
      <c r="N14" s="58"/>
      <c r="O14" s="58"/>
    </row>
    <row r="15" spans="1:15" s="45" customFormat="1">
      <c r="A15" s="39"/>
      <c r="B15" s="41" t="s">
        <v>27</v>
      </c>
      <c r="C15" s="39"/>
      <c r="D15" s="39"/>
      <c r="E15" s="39"/>
      <c r="F15" s="39"/>
      <c r="G15" s="39"/>
      <c r="H15" s="39"/>
      <c r="I15" s="39"/>
      <c r="M15" s="58"/>
      <c r="N15" s="58"/>
      <c r="O15" s="58"/>
    </row>
    <row r="16" spans="1:15" s="45" customFormat="1">
      <c r="A16" s="39"/>
      <c r="C16" s="39"/>
      <c r="D16" s="39"/>
      <c r="E16" s="39"/>
      <c r="F16" s="39"/>
      <c r="G16" s="39"/>
      <c r="H16" s="39"/>
      <c r="I16" s="39"/>
      <c r="M16" s="58"/>
      <c r="N16" s="58"/>
      <c r="O16" s="58"/>
    </row>
    <row r="17" spans="1:15" s="45" customFormat="1">
      <c r="A17" s="40">
        <v>3</v>
      </c>
      <c r="B17" s="41" t="s">
        <v>31</v>
      </c>
      <c r="C17" s="42">
        <f t="shared" ref="C17:G17" si="2">+C18*2080</f>
        <v>39099.839999999997</v>
      </c>
      <c r="D17" s="42">
        <f t="shared" si="2"/>
        <v>40831.856</v>
      </c>
      <c r="E17" s="42">
        <f t="shared" si="2"/>
        <v>42647.28</v>
      </c>
      <c r="F17" s="42">
        <f t="shared" si="2"/>
        <v>44577.103999999999</v>
      </c>
      <c r="G17" s="42">
        <f t="shared" si="2"/>
        <v>46563.087999999996</v>
      </c>
      <c r="H17" s="47">
        <f>H18*2080</f>
        <v>46761.103999999999</v>
      </c>
      <c r="I17" s="39"/>
      <c r="M17" s="58"/>
      <c r="N17" s="58"/>
      <c r="O17" s="58"/>
    </row>
    <row r="18" spans="1:15" s="45" customFormat="1">
      <c r="A18" s="39"/>
      <c r="B18" s="39"/>
      <c r="C18" s="43">
        <v>18.797999999999998</v>
      </c>
      <c r="D18" s="43">
        <v>19.630700000000001</v>
      </c>
      <c r="E18" s="43">
        <v>20.503499999999999</v>
      </c>
      <c r="F18" s="43">
        <v>21.4313</v>
      </c>
      <c r="G18" s="43">
        <v>22.386099999999999</v>
      </c>
      <c r="H18" s="47">
        <v>22.481300000000001</v>
      </c>
      <c r="I18" s="39"/>
      <c r="M18" s="58"/>
      <c r="N18" s="58"/>
      <c r="O18" s="58"/>
    </row>
    <row r="19" spans="1:15" s="45" customFormat="1">
      <c r="A19" s="39"/>
      <c r="B19" s="39"/>
      <c r="C19" s="39"/>
      <c r="D19" s="39"/>
      <c r="E19" s="39"/>
      <c r="F19" s="39"/>
      <c r="G19" s="39"/>
      <c r="H19" s="44"/>
      <c r="I19" s="44"/>
      <c r="M19" s="58"/>
      <c r="N19" s="58"/>
      <c r="O19" s="58"/>
    </row>
    <row r="20" spans="1:15" s="45" customFormat="1">
      <c r="A20" s="40">
        <v>4</v>
      </c>
      <c r="B20" s="41" t="s">
        <v>32</v>
      </c>
      <c r="C20" s="42">
        <f t="shared" ref="C20:G20" si="3">+C21*2080</f>
        <v>40603.68</v>
      </c>
      <c r="D20" s="42">
        <f t="shared" si="3"/>
        <v>42449.056000000004</v>
      </c>
      <c r="E20" s="42">
        <f t="shared" si="3"/>
        <v>44349.968000000001</v>
      </c>
      <c r="F20" s="42">
        <f t="shared" si="3"/>
        <v>46336.784</v>
      </c>
      <c r="G20" s="42">
        <f t="shared" si="3"/>
        <v>48435.088000000003</v>
      </c>
      <c r="H20" s="47">
        <f>H21*2080</f>
        <v>48747.92</v>
      </c>
      <c r="I20" s="39"/>
      <c r="M20" s="58"/>
      <c r="N20" s="58"/>
      <c r="O20" s="58"/>
    </row>
    <row r="21" spans="1:15" s="45" customFormat="1">
      <c r="A21" s="39"/>
      <c r="B21" s="41" t="s">
        <v>33</v>
      </c>
      <c r="C21" s="43">
        <v>19.521000000000001</v>
      </c>
      <c r="D21" s="43">
        <v>20.408200000000001</v>
      </c>
      <c r="E21" s="43">
        <v>21.322099999999999</v>
      </c>
      <c r="F21" s="43">
        <v>22.2773</v>
      </c>
      <c r="G21" s="43">
        <v>23.286100000000001</v>
      </c>
      <c r="H21" s="47">
        <v>23.436499999999999</v>
      </c>
      <c r="I21" s="39"/>
      <c r="M21" s="58"/>
      <c r="N21" s="58"/>
      <c r="O21" s="58"/>
    </row>
    <row r="22" spans="1:15" s="45" customFormat="1">
      <c r="A22" s="39"/>
      <c r="B22" s="41" t="s">
        <v>34</v>
      </c>
      <c r="C22" s="39"/>
      <c r="D22" s="39"/>
      <c r="E22" s="39"/>
      <c r="F22" s="39"/>
      <c r="G22" s="39"/>
      <c r="H22" s="44"/>
      <c r="I22" s="44"/>
      <c r="M22" s="58"/>
      <c r="N22" s="58"/>
      <c r="O22" s="58"/>
    </row>
    <row r="23" spans="1:15" s="45" customFormat="1">
      <c r="A23" s="39"/>
      <c r="B23" s="41" t="s">
        <v>36</v>
      </c>
      <c r="C23" s="39"/>
      <c r="D23" s="39"/>
      <c r="E23" s="39"/>
      <c r="F23" s="39"/>
      <c r="G23" s="39"/>
      <c r="H23" s="39"/>
      <c r="I23" s="39"/>
      <c r="M23" s="58"/>
      <c r="N23" s="58"/>
      <c r="O23" s="58"/>
    </row>
    <row r="24" spans="1:15" s="45" customFormat="1">
      <c r="A24" s="49"/>
      <c r="B24" s="41"/>
      <c r="C24" s="39"/>
      <c r="D24" s="39"/>
      <c r="E24" s="39"/>
      <c r="F24" s="39"/>
      <c r="G24" s="39"/>
      <c r="H24" s="39"/>
      <c r="I24" s="39"/>
      <c r="M24" s="58"/>
      <c r="N24" s="58"/>
      <c r="O24" s="58"/>
    </row>
    <row r="25" spans="1:15" s="45" customFormat="1">
      <c r="A25" s="49">
        <v>5</v>
      </c>
      <c r="B25" s="41" t="s">
        <v>38</v>
      </c>
      <c r="C25" s="47">
        <f t="shared" ref="C25:H25" si="4">C26*2080</f>
        <v>42045.536</v>
      </c>
      <c r="D25" s="47">
        <f t="shared" si="4"/>
        <v>43933.552000000003</v>
      </c>
      <c r="E25" s="47">
        <f t="shared" si="4"/>
        <v>45880.847999999998</v>
      </c>
      <c r="F25" s="47">
        <f t="shared" si="4"/>
        <v>47978.944000000003</v>
      </c>
      <c r="G25" s="47">
        <f t="shared" si="4"/>
        <v>50136.32</v>
      </c>
      <c r="H25" s="47">
        <f t="shared" si="4"/>
        <v>52414.128000000004</v>
      </c>
      <c r="I25" s="39"/>
      <c r="M25" s="58"/>
      <c r="N25" s="58"/>
      <c r="O25" s="58"/>
    </row>
    <row r="26" spans="1:15" s="45" customFormat="1">
      <c r="A26" s="49"/>
      <c r="B26" s="41"/>
      <c r="C26" s="47">
        <v>20.214200000000002</v>
      </c>
      <c r="D26" s="47">
        <v>21.1219</v>
      </c>
      <c r="E26" s="47">
        <v>22.0581</v>
      </c>
      <c r="F26" s="47">
        <v>23.066800000000001</v>
      </c>
      <c r="G26" s="47">
        <v>24.103999999999999</v>
      </c>
      <c r="H26" s="47">
        <v>25.199100000000001</v>
      </c>
      <c r="I26" s="39"/>
      <c r="M26" s="58"/>
      <c r="N26" s="58"/>
      <c r="O26" s="58"/>
    </row>
    <row r="27" spans="1:15" s="45" customFormat="1">
      <c r="A27" s="39"/>
      <c r="B27" s="41"/>
      <c r="C27" s="39"/>
      <c r="D27" s="39"/>
      <c r="E27" s="39"/>
      <c r="F27" s="39"/>
      <c r="G27" s="39"/>
      <c r="H27" s="39"/>
      <c r="I27" s="39"/>
      <c r="M27" s="58"/>
      <c r="N27" s="58"/>
      <c r="O27" s="58"/>
    </row>
    <row r="28" spans="1:15" s="45" customFormat="1">
      <c r="A28" s="40">
        <v>6</v>
      </c>
      <c r="B28" s="41" t="s">
        <v>39</v>
      </c>
      <c r="C28" s="42">
        <f t="shared" ref="C28:G28" si="5">+C29*2080</f>
        <v>45282.015999999996</v>
      </c>
      <c r="D28" s="42">
        <f t="shared" si="5"/>
        <v>47356.608</v>
      </c>
      <c r="E28" s="42">
        <f t="shared" si="5"/>
        <v>49519.184000000001</v>
      </c>
      <c r="F28" s="42">
        <f t="shared" si="5"/>
        <v>51683.216</v>
      </c>
      <c r="G28" s="42">
        <f t="shared" si="5"/>
        <v>54050.048000000003</v>
      </c>
      <c r="H28" s="50">
        <f>H29*2080</f>
        <v>54722.720000000001</v>
      </c>
      <c r="I28" s="44"/>
      <c r="M28" s="58"/>
      <c r="N28" s="58"/>
      <c r="O28" s="58"/>
    </row>
    <row r="29" spans="1:15" s="45" customFormat="1">
      <c r="A29" s="39"/>
      <c r="B29" s="39"/>
      <c r="C29" s="43">
        <v>21.770199999999999</v>
      </c>
      <c r="D29" s="43">
        <v>22.767600000000002</v>
      </c>
      <c r="E29" s="43">
        <v>23.807300000000001</v>
      </c>
      <c r="F29" s="43">
        <v>24.8477</v>
      </c>
      <c r="G29" s="43">
        <v>25.985600000000002</v>
      </c>
      <c r="H29" s="50">
        <v>26.309000000000001</v>
      </c>
      <c r="I29" s="44"/>
      <c r="M29" s="58"/>
      <c r="N29" s="58"/>
      <c r="O29" s="58"/>
    </row>
    <row r="30" spans="1:15" s="45" customFormat="1">
      <c r="A30" s="39"/>
      <c r="B30" s="39"/>
      <c r="C30" s="44"/>
      <c r="D30" s="44"/>
      <c r="E30" s="44"/>
      <c r="F30" s="44"/>
      <c r="G30" s="44"/>
      <c r="H30" s="44"/>
      <c r="I30" s="44"/>
      <c r="M30" s="58"/>
      <c r="N30" s="58"/>
      <c r="O30" s="58"/>
    </row>
    <row r="31" spans="1:15" s="45" customFormat="1">
      <c r="A31" s="31" t="s">
        <v>0</v>
      </c>
      <c r="B31" s="31"/>
      <c r="C31" s="31"/>
      <c r="D31" s="31"/>
      <c r="E31" s="31"/>
      <c r="F31" s="31"/>
      <c r="G31" s="31"/>
      <c r="H31" s="31"/>
      <c r="I31" s="31"/>
      <c r="M31" s="58"/>
      <c r="N31" s="58"/>
      <c r="O31" s="58"/>
    </row>
    <row r="32" spans="1:15" s="45" customFormat="1">
      <c r="A32" s="32" t="s">
        <v>1</v>
      </c>
      <c r="B32" s="31"/>
      <c r="C32" s="31"/>
      <c r="D32" s="31"/>
      <c r="E32" s="31"/>
      <c r="F32" s="31"/>
      <c r="G32" s="31"/>
      <c r="H32" s="31"/>
      <c r="I32" s="31"/>
      <c r="M32" s="58"/>
      <c r="N32" s="58"/>
      <c r="O32" s="58"/>
    </row>
    <row r="33" spans="1:15" s="45" customFormat="1" ht="15.75" thickBot="1">
      <c r="A33" s="61" t="s">
        <v>62</v>
      </c>
      <c r="B33" s="61"/>
      <c r="C33" s="61"/>
      <c r="D33" s="61"/>
      <c r="E33" s="61"/>
      <c r="F33" s="61"/>
      <c r="G33" s="61"/>
      <c r="H33" s="61"/>
      <c r="I33" s="61"/>
      <c r="J33" s="59"/>
      <c r="M33" s="58"/>
      <c r="N33" s="58"/>
      <c r="O33" s="58"/>
    </row>
    <row r="34" spans="1:15" s="45" customFormat="1">
      <c r="A34" s="33" t="s">
        <v>3</v>
      </c>
      <c r="B34" s="34"/>
      <c r="C34" s="34"/>
      <c r="D34" s="34"/>
      <c r="E34" s="34"/>
      <c r="F34" s="34"/>
      <c r="G34" s="34"/>
      <c r="H34" s="34"/>
      <c r="I34" s="35"/>
      <c r="M34" s="58"/>
      <c r="N34" s="58"/>
      <c r="O34" s="58"/>
    </row>
    <row r="35" spans="1:15" s="45" customFormat="1" ht="15.75" thickBot="1">
      <c r="A35" s="36" t="s">
        <v>4</v>
      </c>
      <c r="B35" s="37" t="s">
        <v>5</v>
      </c>
      <c r="C35" s="37" t="s">
        <v>63</v>
      </c>
      <c r="D35" s="37" t="s">
        <v>64</v>
      </c>
      <c r="E35" s="37" t="s">
        <v>65</v>
      </c>
      <c r="F35" s="37" t="s">
        <v>66</v>
      </c>
      <c r="G35" s="37" t="s">
        <v>67</v>
      </c>
      <c r="H35" s="37" t="s">
        <v>75</v>
      </c>
      <c r="I35" s="38"/>
      <c r="M35" s="58"/>
      <c r="N35" s="58"/>
      <c r="O35" s="58"/>
    </row>
    <row r="36" spans="1:15" s="45" customFormat="1" ht="35.25" customHeight="1">
      <c r="A36" s="49">
        <v>7</v>
      </c>
      <c r="B36" s="41" t="s">
        <v>60</v>
      </c>
      <c r="C36" s="51">
        <f t="shared" ref="C36:G36" si="6">+C37*2080</f>
        <v>44577.103999999999</v>
      </c>
      <c r="D36" s="51">
        <f t="shared" si="6"/>
        <v>46563.087999999996</v>
      </c>
      <c r="E36" s="51">
        <f t="shared" si="6"/>
        <v>48691.135999999999</v>
      </c>
      <c r="F36" s="51">
        <f t="shared" si="6"/>
        <v>50904.255999999994</v>
      </c>
      <c r="G36" s="51">
        <f t="shared" si="6"/>
        <v>53231.984000000004</v>
      </c>
      <c r="H36" s="52">
        <f>H37*2080</f>
        <v>53941.263999999996</v>
      </c>
      <c r="I36" s="39"/>
      <c r="M36" s="58"/>
      <c r="N36" s="58"/>
      <c r="O36" s="58"/>
    </row>
    <row r="37" spans="1:15" s="45" customFormat="1">
      <c r="A37" s="39"/>
      <c r="B37" s="41" t="s">
        <v>61</v>
      </c>
      <c r="C37" s="51">
        <v>21.4313</v>
      </c>
      <c r="D37" s="51">
        <v>22.386099999999999</v>
      </c>
      <c r="E37" s="51">
        <v>23.409199999999998</v>
      </c>
      <c r="F37" s="51">
        <v>24.473199999999999</v>
      </c>
      <c r="G37" s="51">
        <v>25.592300000000002</v>
      </c>
      <c r="H37" s="51">
        <v>25.933299999999999</v>
      </c>
      <c r="I37" s="44"/>
      <c r="M37" s="58"/>
      <c r="N37" s="58"/>
      <c r="O37" s="58"/>
    </row>
    <row r="38" spans="1:15" s="45" customFormat="1">
      <c r="A38" s="39"/>
      <c r="B38" s="41"/>
      <c r="C38" s="51"/>
      <c r="D38" s="51"/>
      <c r="E38" s="51"/>
      <c r="F38" s="51"/>
      <c r="G38" s="51"/>
      <c r="H38" s="51"/>
      <c r="I38" s="44"/>
      <c r="M38" s="58"/>
      <c r="N38" s="58"/>
      <c r="O38" s="58"/>
    </row>
    <row r="39" spans="1:15" s="45" customFormat="1">
      <c r="A39" s="49">
        <v>8</v>
      </c>
      <c r="B39" s="41" t="s">
        <v>42</v>
      </c>
      <c r="C39" s="51">
        <f t="shared" ref="C39:G39" si="7">+C40*2080</f>
        <v>45825.728000000003</v>
      </c>
      <c r="D39" s="51">
        <f t="shared" si="7"/>
        <v>47838.96</v>
      </c>
      <c r="E39" s="51">
        <f t="shared" si="7"/>
        <v>50024.207999999999</v>
      </c>
      <c r="F39" s="51">
        <f t="shared" si="7"/>
        <v>52294.112000000001</v>
      </c>
      <c r="G39" s="51">
        <f t="shared" si="7"/>
        <v>54706.288</v>
      </c>
      <c r="H39" s="52">
        <f>H40*2080</f>
        <v>55473.808000000005</v>
      </c>
      <c r="I39" s="39"/>
      <c r="M39" s="58"/>
      <c r="N39" s="58"/>
      <c r="O39" s="58"/>
    </row>
    <row r="40" spans="1:15" s="45" customFormat="1">
      <c r="A40" s="41"/>
      <c r="B40" s="41" t="s">
        <v>43</v>
      </c>
      <c r="C40" s="51">
        <v>22.031600000000001</v>
      </c>
      <c r="D40" s="51">
        <v>22.999500000000001</v>
      </c>
      <c r="E40" s="51">
        <v>24.0501</v>
      </c>
      <c r="F40" s="51">
        <v>25.141400000000001</v>
      </c>
      <c r="G40" s="51">
        <v>26.301100000000002</v>
      </c>
      <c r="H40" s="51">
        <v>26.670100000000001</v>
      </c>
      <c r="I40" s="44"/>
      <c r="M40" s="58"/>
      <c r="N40" s="58"/>
      <c r="O40" s="58"/>
    </row>
    <row r="41" spans="1:15" s="45" customFormat="1">
      <c r="B41" s="41"/>
      <c r="C41" s="53"/>
      <c r="D41" s="53"/>
      <c r="E41" s="53"/>
      <c r="F41" s="53"/>
      <c r="G41" s="53"/>
      <c r="H41" s="53"/>
      <c r="M41" s="58"/>
      <c r="N41" s="58"/>
      <c r="O41" s="58"/>
    </row>
    <row r="42" spans="1:15" s="45" customFormat="1">
      <c r="A42" s="40">
        <v>9</v>
      </c>
      <c r="B42" s="41" t="s">
        <v>46</v>
      </c>
      <c r="C42" s="51">
        <f t="shared" ref="C42:G42" si="8">+C43*2080</f>
        <v>46476.976000000002</v>
      </c>
      <c r="D42" s="51">
        <f t="shared" si="8"/>
        <v>48691.135999999999</v>
      </c>
      <c r="E42" s="51">
        <f t="shared" si="8"/>
        <v>51074.608</v>
      </c>
      <c r="F42" s="51">
        <f t="shared" si="8"/>
        <v>53515.904000000002</v>
      </c>
      <c r="G42" s="51">
        <f t="shared" si="8"/>
        <v>56153.135999999999</v>
      </c>
      <c r="H42" s="51"/>
      <c r="K42" s="58"/>
      <c r="L42" s="58"/>
      <c r="M42" s="58"/>
    </row>
    <row r="43" spans="1:15" s="45" customFormat="1">
      <c r="A43" s="41"/>
      <c r="B43" s="41"/>
      <c r="C43" s="51">
        <v>22.3447</v>
      </c>
      <c r="D43" s="51">
        <v>23.409199999999998</v>
      </c>
      <c r="E43" s="51">
        <v>24.555099999999999</v>
      </c>
      <c r="F43" s="51">
        <v>25.7288</v>
      </c>
      <c r="G43" s="51">
        <v>26.996700000000001</v>
      </c>
      <c r="H43" s="51"/>
      <c r="K43" s="58"/>
      <c r="L43" s="58"/>
      <c r="M43" s="58"/>
    </row>
    <row r="44" spans="1:15" s="45" customFormat="1">
      <c r="A44" s="39"/>
      <c r="B44" s="39"/>
      <c r="C44" s="51"/>
      <c r="D44" s="54"/>
      <c r="E44" s="54"/>
      <c r="F44" s="54"/>
      <c r="G44" s="54"/>
      <c r="H44" s="53"/>
      <c r="K44" s="58"/>
      <c r="L44" s="58"/>
      <c r="M44" s="58"/>
    </row>
    <row r="45" spans="1:15" s="45" customFormat="1">
      <c r="A45" s="40">
        <v>10</v>
      </c>
      <c r="B45" s="41" t="s">
        <v>47</v>
      </c>
      <c r="C45" s="51">
        <f t="shared" ref="C45:G45" si="9">+C46*2080</f>
        <v>46705.36</v>
      </c>
      <c r="D45" s="51">
        <f t="shared" si="9"/>
        <v>49968.671999999999</v>
      </c>
      <c r="E45" s="51">
        <f t="shared" si="9"/>
        <v>52323.023999999998</v>
      </c>
      <c r="F45" s="51">
        <f t="shared" si="9"/>
        <v>54763.072</v>
      </c>
      <c r="G45" s="51">
        <f t="shared" si="9"/>
        <v>57402.592000000004</v>
      </c>
      <c r="H45" s="51"/>
      <c r="K45" s="58"/>
      <c r="L45" s="58"/>
      <c r="M45" s="58"/>
    </row>
    <row r="46" spans="1:15" s="45" customFormat="1">
      <c r="A46" s="39"/>
      <c r="B46" s="41"/>
      <c r="C46" s="51">
        <v>22.454499999999999</v>
      </c>
      <c r="D46" s="51">
        <v>24.023399999999999</v>
      </c>
      <c r="E46" s="51">
        <v>25.1553</v>
      </c>
      <c r="F46" s="51">
        <v>26.328399999999998</v>
      </c>
      <c r="G46" s="51">
        <v>27.5974</v>
      </c>
      <c r="H46" s="51"/>
      <c r="K46" s="58"/>
      <c r="L46" s="58"/>
      <c r="M46" s="58"/>
    </row>
    <row r="47" spans="1:15" s="45" customFormat="1">
      <c r="A47" s="39"/>
      <c r="B47" s="39"/>
      <c r="C47" s="54"/>
      <c r="D47" s="51"/>
      <c r="E47" s="51"/>
      <c r="F47" s="54"/>
      <c r="G47" s="54"/>
      <c r="H47" s="54"/>
      <c r="I47" s="39"/>
      <c r="M47" s="58"/>
      <c r="N47" s="58"/>
      <c r="O47" s="58"/>
    </row>
    <row r="48" spans="1:15" s="45" customFormat="1">
      <c r="A48" s="40">
        <v>11</v>
      </c>
      <c r="B48" s="41" t="s">
        <v>70</v>
      </c>
      <c r="C48" s="51">
        <f t="shared" ref="C48:G48" si="10">+C49*2080</f>
        <v>47698.976000000002</v>
      </c>
      <c r="D48" s="51">
        <f t="shared" si="10"/>
        <v>49882.975999999995</v>
      </c>
      <c r="E48" s="51">
        <f t="shared" si="10"/>
        <v>52153.920000000006</v>
      </c>
      <c r="F48" s="51">
        <f t="shared" si="10"/>
        <v>54537.184000000001</v>
      </c>
      <c r="G48" s="51">
        <f t="shared" si="10"/>
        <v>57034.016000000003</v>
      </c>
      <c r="H48" s="52">
        <f>H49*2080</f>
        <v>57628.479999999996</v>
      </c>
      <c r="I48" s="39"/>
      <c r="M48" s="58"/>
      <c r="N48" s="58"/>
      <c r="O48" s="58"/>
    </row>
    <row r="49" spans="1:15" s="45" customFormat="1">
      <c r="A49" s="39"/>
      <c r="B49" s="41" t="s">
        <v>49</v>
      </c>
      <c r="C49" s="51">
        <v>22.932200000000002</v>
      </c>
      <c r="D49" s="51">
        <v>23.982199999999999</v>
      </c>
      <c r="E49" s="51">
        <v>25.074000000000002</v>
      </c>
      <c r="F49" s="51">
        <v>26.219799999999999</v>
      </c>
      <c r="G49" s="51">
        <v>27.420200000000001</v>
      </c>
      <c r="H49" s="51">
        <v>27.706</v>
      </c>
      <c r="I49" s="44"/>
      <c r="M49" s="58"/>
      <c r="N49" s="58"/>
      <c r="O49" s="58"/>
    </row>
    <row r="50" spans="1:15" s="45" customFormat="1">
      <c r="A50" s="39"/>
      <c r="C50" s="54"/>
      <c r="D50" s="54"/>
      <c r="E50" s="54"/>
      <c r="F50" s="54"/>
      <c r="G50" s="54"/>
      <c r="H50" s="54"/>
      <c r="I50" s="39"/>
      <c r="M50" s="58"/>
      <c r="N50" s="58"/>
      <c r="O50" s="58"/>
    </row>
    <row r="51" spans="1:15" s="45" customFormat="1">
      <c r="A51" s="40">
        <v>12</v>
      </c>
      <c r="B51" s="41" t="s">
        <v>50</v>
      </c>
      <c r="C51" s="51">
        <f t="shared" ref="C51:G51" si="11">+C52*2080</f>
        <v>48265.983999999997</v>
      </c>
      <c r="D51" s="51">
        <f t="shared" si="11"/>
        <v>50393.823999999993</v>
      </c>
      <c r="E51" s="51">
        <f t="shared" si="11"/>
        <v>52407.472000000002</v>
      </c>
      <c r="F51" s="51">
        <f t="shared" si="11"/>
        <v>54537.184000000001</v>
      </c>
      <c r="G51" s="51">
        <f t="shared" si="11"/>
        <v>56636.32</v>
      </c>
      <c r="H51" s="52">
        <f>H52*2080</f>
        <v>58735.871999999996</v>
      </c>
      <c r="I51" s="39"/>
      <c r="M51" s="58"/>
      <c r="N51" s="58"/>
      <c r="O51" s="58"/>
    </row>
    <row r="52" spans="1:15" s="45" customFormat="1">
      <c r="A52" s="55"/>
      <c r="B52" s="41"/>
      <c r="C52" s="51">
        <v>23.204799999999999</v>
      </c>
      <c r="D52" s="51">
        <v>24.227799999999998</v>
      </c>
      <c r="E52" s="51">
        <v>25.195900000000002</v>
      </c>
      <c r="F52" s="51">
        <v>26.219799999999999</v>
      </c>
      <c r="G52" s="51">
        <v>27.228999999999999</v>
      </c>
      <c r="H52" s="51">
        <v>28.238399999999999</v>
      </c>
      <c r="I52" s="44"/>
      <c r="M52" s="58"/>
      <c r="N52" s="58"/>
      <c r="O52" s="58"/>
    </row>
    <row r="53" spans="1:15" s="45" customFormat="1">
      <c r="A53" s="55"/>
      <c r="B53" s="39"/>
      <c r="C53" s="54"/>
      <c r="D53" s="54"/>
      <c r="E53" s="54"/>
      <c r="F53" s="54"/>
      <c r="G53" s="54"/>
      <c r="H53" s="54"/>
      <c r="I53" s="39"/>
      <c r="M53" s="58"/>
      <c r="N53" s="58"/>
      <c r="O53" s="58"/>
    </row>
    <row r="54" spans="1:15" s="45" customFormat="1">
      <c r="A54" s="40">
        <v>13</v>
      </c>
      <c r="B54" s="41" t="s">
        <v>51</v>
      </c>
      <c r="C54" s="51">
        <f t="shared" ref="C54:G54" si="12">+C55*2080</f>
        <v>48180.08</v>
      </c>
      <c r="D54" s="51">
        <f t="shared" si="12"/>
        <v>51727.103999999999</v>
      </c>
      <c r="E54" s="51">
        <f t="shared" si="12"/>
        <v>53629.472000000002</v>
      </c>
      <c r="F54" s="51">
        <f t="shared" si="12"/>
        <v>55586.336000000003</v>
      </c>
      <c r="G54" s="51">
        <f t="shared" si="12"/>
        <v>57572.944000000003</v>
      </c>
      <c r="H54" s="52">
        <f>H55*2080</f>
        <v>59501.728000000003</v>
      </c>
      <c r="I54" s="39"/>
      <c r="M54" s="58"/>
      <c r="N54" s="58"/>
      <c r="O54" s="58"/>
    </row>
    <row r="55" spans="1:15" s="45" customFormat="1">
      <c r="A55" s="55"/>
      <c r="B55" s="41" t="s">
        <v>52</v>
      </c>
      <c r="C55" s="51">
        <v>23.163499999999999</v>
      </c>
      <c r="D55" s="51">
        <v>24.8688</v>
      </c>
      <c r="E55" s="51">
        <v>25.7834</v>
      </c>
      <c r="F55" s="51">
        <v>26.7242</v>
      </c>
      <c r="G55" s="51">
        <v>27.679300000000001</v>
      </c>
      <c r="H55" s="51">
        <v>28.6066</v>
      </c>
      <c r="I55" s="44"/>
      <c r="M55" s="58"/>
      <c r="N55" s="58"/>
      <c r="O55" s="58"/>
    </row>
    <row r="56" spans="1:15" s="45" customFormat="1">
      <c r="A56" s="55"/>
      <c r="B56" s="41" t="s">
        <v>53</v>
      </c>
      <c r="C56" s="51"/>
      <c r="D56" s="51"/>
      <c r="E56" s="51"/>
      <c r="F56" s="51"/>
      <c r="G56" s="51"/>
      <c r="H56" s="51"/>
      <c r="I56" s="44"/>
      <c r="M56" s="58"/>
      <c r="N56" s="58"/>
      <c r="O56" s="58"/>
    </row>
    <row r="57" spans="1:15" s="45" customFormat="1">
      <c r="A57" s="55"/>
      <c r="B57" s="39"/>
      <c r="C57" s="54"/>
      <c r="D57" s="54"/>
      <c r="E57" s="54"/>
      <c r="F57" s="54"/>
      <c r="G57" s="54"/>
      <c r="H57" s="54"/>
      <c r="I57" s="39"/>
      <c r="M57" s="58"/>
      <c r="N57" s="58"/>
      <c r="O57" s="58"/>
    </row>
    <row r="58" spans="1:15" s="45" customFormat="1">
      <c r="A58" s="40">
        <v>14</v>
      </c>
      <c r="B58" s="41" t="s">
        <v>57</v>
      </c>
      <c r="C58" s="51">
        <f t="shared" ref="C58:G58" si="13">+C59*2080</f>
        <v>51955.487999999998</v>
      </c>
      <c r="D58" s="51">
        <f t="shared" si="13"/>
        <v>54338.752</v>
      </c>
      <c r="E58" s="51">
        <f t="shared" si="13"/>
        <v>56806.879999999997</v>
      </c>
      <c r="F58" s="51">
        <f t="shared" si="13"/>
        <v>59446.608</v>
      </c>
      <c r="G58" s="51">
        <f t="shared" si="13"/>
        <v>62226.32</v>
      </c>
      <c r="H58" s="52">
        <f>H59*2080</f>
        <v>63503.648000000001</v>
      </c>
      <c r="I58" s="39"/>
      <c r="M58" s="58"/>
      <c r="N58" s="58"/>
      <c r="O58" s="58"/>
    </row>
    <row r="59" spans="1:15" s="45" customFormat="1">
      <c r="A59" s="39"/>
      <c r="B59" s="41" t="s">
        <v>58</v>
      </c>
      <c r="C59" s="51">
        <v>24.9786</v>
      </c>
      <c r="D59" s="51">
        <v>26.124400000000001</v>
      </c>
      <c r="E59" s="51">
        <v>27.311</v>
      </c>
      <c r="F59" s="51">
        <v>28.580100000000002</v>
      </c>
      <c r="G59" s="51">
        <v>29.916499999999999</v>
      </c>
      <c r="H59" s="56">
        <v>30.5306</v>
      </c>
      <c r="I59" s="50"/>
      <c r="M59" s="58"/>
      <c r="N59" s="58"/>
      <c r="O59" s="58"/>
    </row>
    <row r="60" spans="1:15" s="45" customFormat="1">
      <c r="A60" s="39"/>
      <c r="B60" s="41"/>
      <c r="C60" s="39"/>
      <c r="D60" s="39"/>
      <c r="E60" s="39"/>
      <c r="F60" s="39"/>
      <c r="G60" s="39"/>
      <c r="H60" s="39"/>
      <c r="I60" s="39"/>
      <c r="M60" s="58"/>
      <c r="N60" s="58"/>
      <c r="O60" s="58"/>
    </row>
    <row r="61" spans="1:15">
      <c r="A61" s="39"/>
      <c r="B61" s="41"/>
      <c r="C61" s="39"/>
      <c r="D61" s="39"/>
      <c r="E61" s="39"/>
      <c r="F61" s="39"/>
      <c r="G61" s="39"/>
      <c r="H61" s="39"/>
      <c r="I61" s="39"/>
    </row>
    <row r="62" spans="1:15">
      <c r="A62" s="45"/>
      <c r="B62" s="41"/>
      <c r="C62" s="45"/>
      <c r="D62" s="45"/>
      <c r="E62" s="45"/>
      <c r="F62" s="57"/>
      <c r="G62" s="45"/>
      <c r="H62" s="45"/>
      <c r="I62" s="45"/>
    </row>
  </sheetData>
  <mergeCells count="2">
    <mergeCell ref="A3:I3"/>
    <mergeCell ref="A33:I33"/>
  </mergeCells>
  <pageMargins left="0.75" right="0.5" top="0.25" bottom="0.25" header="0.5" footer="0.5"/>
  <pageSetup scale="83" fitToHeight="0" orientation="landscape" r:id="rId1"/>
  <headerFooter alignWithMargins="0"/>
  <rowBreaks count="1" manualBreakCount="1">
    <brk id="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EBA10-67AB-4861-A8DA-FBA1F0F80B05}">
  <sheetPr>
    <pageSetUpPr fitToPage="1"/>
  </sheetPr>
  <dimension ref="A1:P68"/>
  <sheetViews>
    <sheetView topLeftCell="A18" workbookViewId="0">
      <selection activeCell="B38" sqref="B38"/>
    </sheetView>
  </sheetViews>
  <sheetFormatPr defaultRowHeight="15"/>
  <cols>
    <col min="2" max="2" width="27.44140625" bestFit="1" customWidth="1"/>
    <col min="3" max="3" width="14.6640625" customWidth="1"/>
    <col min="4" max="8" width="11.44140625" bestFit="1" customWidth="1"/>
  </cols>
  <sheetData>
    <row r="1" spans="1:15" s="45" customFormat="1">
      <c r="A1" s="31" t="s">
        <v>0</v>
      </c>
      <c r="B1" s="31"/>
      <c r="C1" s="31"/>
      <c r="D1" s="31"/>
      <c r="E1" s="31"/>
      <c r="F1" s="31"/>
      <c r="G1" s="31"/>
      <c r="H1" s="31"/>
      <c r="I1" s="31"/>
      <c r="M1" s="58"/>
      <c r="N1" s="58"/>
      <c r="O1" s="58"/>
    </row>
    <row r="2" spans="1:15" s="45" customFormat="1">
      <c r="A2" s="32" t="s">
        <v>1</v>
      </c>
      <c r="B2" s="31"/>
      <c r="C2" s="31"/>
      <c r="D2" s="31"/>
      <c r="E2" s="31"/>
      <c r="F2" s="31"/>
      <c r="G2" s="31"/>
      <c r="H2" s="31"/>
      <c r="I2" s="31"/>
      <c r="M2" s="58"/>
      <c r="N2" s="58"/>
      <c r="O2" s="58"/>
    </row>
    <row r="3" spans="1:15" s="45" customFormat="1" ht="15.75" thickBot="1">
      <c r="A3" s="61" t="s">
        <v>71</v>
      </c>
      <c r="B3" s="61"/>
      <c r="C3" s="61"/>
      <c r="D3" s="61"/>
      <c r="E3" s="61"/>
      <c r="F3" s="61"/>
      <c r="G3" s="61"/>
      <c r="H3" s="61"/>
      <c r="I3" s="61"/>
      <c r="M3" s="58"/>
      <c r="N3" s="58"/>
      <c r="O3" s="58"/>
    </row>
    <row r="4" spans="1:15" s="45" customFormat="1">
      <c r="A4" s="33" t="s">
        <v>3</v>
      </c>
      <c r="B4" s="34"/>
      <c r="C4" s="34"/>
      <c r="D4" s="34"/>
      <c r="E4" s="34"/>
      <c r="F4" s="34"/>
      <c r="G4" s="34"/>
      <c r="H4" s="34"/>
      <c r="I4" s="35"/>
      <c r="M4" s="58"/>
      <c r="N4" s="58"/>
      <c r="O4" s="58"/>
    </row>
    <row r="5" spans="1:15" s="45" customFormat="1" ht="15.75" thickBot="1">
      <c r="A5" s="36" t="s">
        <v>4</v>
      </c>
      <c r="B5" s="37" t="s">
        <v>5</v>
      </c>
      <c r="C5" s="37" t="s">
        <v>63</v>
      </c>
      <c r="D5" s="37" t="s">
        <v>64</v>
      </c>
      <c r="E5" s="37" t="s">
        <v>65</v>
      </c>
      <c r="F5" s="37" t="s">
        <v>66</v>
      </c>
      <c r="G5" s="37" t="s">
        <v>67</v>
      </c>
      <c r="H5" s="37" t="s">
        <v>75</v>
      </c>
      <c r="I5" s="38"/>
      <c r="M5" s="58"/>
      <c r="N5" s="58"/>
      <c r="O5" s="58"/>
    </row>
    <row r="6" spans="1:15" s="45" customFormat="1">
      <c r="A6" s="39"/>
      <c r="B6" s="39"/>
      <c r="C6" s="39"/>
      <c r="D6" s="39"/>
      <c r="E6" s="39"/>
      <c r="F6" s="39"/>
      <c r="G6" s="39"/>
      <c r="H6" s="39"/>
      <c r="I6" s="39"/>
      <c r="M6" s="58"/>
      <c r="N6" s="58"/>
      <c r="O6" s="58"/>
    </row>
    <row r="7" spans="1:15" s="45" customFormat="1">
      <c r="A7" s="40">
        <v>1</v>
      </c>
      <c r="B7" s="41" t="s">
        <v>18</v>
      </c>
      <c r="C7" s="42">
        <f t="shared" ref="C7:H7" si="0">+C8*2080</f>
        <v>35509.551999999996</v>
      </c>
      <c r="D7" s="42">
        <f t="shared" si="0"/>
        <v>37094.720000000001</v>
      </c>
      <c r="E7" s="42">
        <f t="shared" si="0"/>
        <v>38707.760000000002</v>
      </c>
      <c r="F7" s="42">
        <f t="shared" si="0"/>
        <v>40407.743999999999</v>
      </c>
      <c r="G7" s="42">
        <f t="shared" si="0"/>
        <v>42078.608</v>
      </c>
      <c r="H7" s="42">
        <f t="shared" si="0"/>
        <v>42078.608</v>
      </c>
      <c r="I7" s="39"/>
      <c r="M7" s="58"/>
      <c r="N7" s="58"/>
      <c r="O7" s="58"/>
    </row>
    <row r="8" spans="1:15" s="45" customFormat="1">
      <c r="A8" s="39"/>
      <c r="B8" s="41" t="s">
        <v>19</v>
      </c>
      <c r="C8" s="43">
        <v>17.071899999999999</v>
      </c>
      <c r="D8" s="43">
        <v>17.834</v>
      </c>
      <c r="E8" s="43">
        <v>18.609500000000001</v>
      </c>
      <c r="F8" s="43">
        <v>19.4268</v>
      </c>
      <c r="G8" s="43">
        <v>20.2301</v>
      </c>
      <c r="H8" s="43">
        <v>20.2301</v>
      </c>
      <c r="I8" s="44"/>
      <c r="M8" s="58"/>
      <c r="N8" s="58"/>
      <c r="O8" s="58"/>
    </row>
    <row r="9" spans="1:15" s="45" customFormat="1">
      <c r="A9" s="39"/>
      <c r="B9" s="41" t="s">
        <v>68</v>
      </c>
      <c r="C9" s="39"/>
      <c r="D9" s="39"/>
      <c r="E9" s="39"/>
      <c r="F9" s="39"/>
      <c r="G9" s="39"/>
      <c r="H9" s="39"/>
      <c r="I9" s="39"/>
      <c r="M9" s="58"/>
      <c r="N9" s="58"/>
      <c r="O9" s="58"/>
    </row>
    <row r="10" spans="1:15" s="45" customFormat="1">
      <c r="A10" s="39"/>
      <c r="B10" s="41" t="s">
        <v>69</v>
      </c>
      <c r="C10" s="39"/>
      <c r="D10" s="39"/>
      <c r="E10" s="39"/>
      <c r="F10" s="39"/>
      <c r="G10" s="39"/>
      <c r="H10" s="39"/>
      <c r="I10" s="39"/>
      <c r="M10" s="58"/>
      <c r="N10" s="58"/>
      <c r="O10" s="58"/>
    </row>
    <row r="11" spans="1:15" s="45" customFormat="1">
      <c r="A11" s="39"/>
      <c r="C11" s="39"/>
      <c r="D11" s="46"/>
      <c r="E11" s="46"/>
      <c r="F11" s="39"/>
      <c r="G11" s="39"/>
      <c r="H11" s="39"/>
      <c r="I11" s="39"/>
      <c r="M11" s="58"/>
      <c r="N11" s="58"/>
      <c r="O11" s="58"/>
    </row>
    <row r="12" spans="1:15" s="45" customFormat="1">
      <c r="A12" s="40">
        <v>2</v>
      </c>
      <c r="B12" s="41" t="s">
        <v>24</v>
      </c>
      <c r="C12" s="42">
        <f t="shared" ref="C12:G12" si="1">+C13*2080</f>
        <v>38216.879999999997</v>
      </c>
      <c r="D12" s="42">
        <f t="shared" si="1"/>
        <v>39888.784</v>
      </c>
      <c r="E12" s="42">
        <f t="shared" si="1"/>
        <v>41673.839999999997</v>
      </c>
      <c r="F12" s="42">
        <f t="shared" si="1"/>
        <v>43517.552000000003</v>
      </c>
      <c r="G12" s="42">
        <f t="shared" si="1"/>
        <v>45504.784000000007</v>
      </c>
      <c r="H12" s="47">
        <f>H13*2080</f>
        <v>45590.688000000002</v>
      </c>
      <c r="I12" s="39"/>
      <c r="M12" s="58"/>
      <c r="N12" s="58"/>
      <c r="O12" s="58"/>
    </row>
    <row r="13" spans="1:15" s="45" customFormat="1">
      <c r="A13" s="39"/>
      <c r="B13" s="41" t="s">
        <v>25</v>
      </c>
      <c r="C13" s="43">
        <v>18.3735</v>
      </c>
      <c r="D13" s="43">
        <v>19.177299999999999</v>
      </c>
      <c r="E13" s="43">
        <v>20.035499999999999</v>
      </c>
      <c r="F13" s="43">
        <v>20.921900000000001</v>
      </c>
      <c r="G13" s="43">
        <v>21.877300000000002</v>
      </c>
      <c r="H13" s="48">
        <v>21.918600000000001</v>
      </c>
      <c r="I13" s="44"/>
      <c r="M13" s="58"/>
      <c r="N13" s="58"/>
      <c r="O13" s="58"/>
    </row>
    <row r="14" spans="1:15" s="45" customFormat="1">
      <c r="A14" s="39"/>
      <c r="B14" s="41" t="s">
        <v>26</v>
      </c>
      <c r="C14" s="39"/>
      <c r="D14" s="39"/>
      <c r="E14" s="39"/>
      <c r="F14" s="39"/>
      <c r="G14" s="39"/>
      <c r="H14" s="39"/>
      <c r="I14" s="39"/>
      <c r="M14" s="58"/>
      <c r="N14" s="58"/>
      <c r="O14" s="58"/>
    </row>
    <row r="15" spans="1:15" s="45" customFormat="1">
      <c r="A15" s="39"/>
      <c r="B15" s="41" t="s">
        <v>27</v>
      </c>
      <c r="C15" s="39"/>
      <c r="D15" s="39"/>
      <c r="E15" s="39"/>
      <c r="F15" s="39"/>
      <c r="G15" s="39"/>
      <c r="H15" s="39"/>
      <c r="I15" s="39"/>
      <c r="M15" s="58"/>
      <c r="N15" s="58"/>
      <c r="O15" s="58"/>
    </row>
    <row r="16" spans="1:15" s="45" customFormat="1">
      <c r="A16" s="39"/>
      <c r="C16" s="39"/>
      <c r="D16" s="39"/>
      <c r="E16" s="39"/>
      <c r="F16" s="39"/>
      <c r="G16" s="39"/>
      <c r="H16" s="39"/>
      <c r="I16" s="39"/>
      <c r="M16" s="58"/>
      <c r="N16" s="58"/>
      <c r="O16" s="58"/>
    </row>
    <row r="17" spans="1:15" s="45" customFormat="1">
      <c r="A17" s="40">
        <v>3</v>
      </c>
      <c r="B17" s="41" t="s">
        <v>31</v>
      </c>
      <c r="C17" s="42">
        <f t="shared" ref="C17:G17" si="2">+C18*2080</f>
        <v>39686.399999999994</v>
      </c>
      <c r="D17" s="42">
        <f t="shared" si="2"/>
        <v>41444.415999999997</v>
      </c>
      <c r="E17" s="42">
        <f t="shared" si="2"/>
        <v>43287.087999999996</v>
      </c>
      <c r="F17" s="42">
        <f t="shared" si="2"/>
        <v>45245.824000000001</v>
      </c>
      <c r="G17" s="42">
        <f t="shared" si="2"/>
        <v>47261.552000000003</v>
      </c>
      <c r="H17" s="47">
        <f>H18*2080</f>
        <v>47462.48</v>
      </c>
      <c r="I17" s="39"/>
      <c r="M17" s="58"/>
      <c r="N17" s="58"/>
      <c r="O17" s="58"/>
    </row>
    <row r="18" spans="1:15" s="45" customFormat="1">
      <c r="A18" s="39"/>
      <c r="B18" s="39"/>
      <c r="C18" s="43">
        <v>19.079999999999998</v>
      </c>
      <c r="D18" s="43">
        <v>19.9252</v>
      </c>
      <c r="E18" s="43">
        <v>20.8111</v>
      </c>
      <c r="F18" s="43">
        <v>21.752800000000001</v>
      </c>
      <c r="G18" s="43">
        <v>22.721900000000002</v>
      </c>
      <c r="H18" s="47">
        <v>22.8185</v>
      </c>
      <c r="I18" s="39"/>
      <c r="M18" s="58"/>
      <c r="N18" s="58"/>
      <c r="O18" s="58"/>
    </row>
    <row r="19" spans="1:15" s="45" customFormat="1">
      <c r="A19" s="39"/>
      <c r="B19" s="39"/>
      <c r="C19" s="39"/>
      <c r="D19" s="39"/>
      <c r="E19" s="39"/>
      <c r="F19" s="39"/>
      <c r="G19" s="39"/>
      <c r="H19" s="44"/>
      <c r="I19" s="44"/>
      <c r="M19" s="58"/>
      <c r="N19" s="58"/>
      <c r="O19" s="58"/>
    </row>
    <row r="20" spans="1:15" s="45" customFormat="1">
      <c r="A20" s="40">
        <v>4</v>
      </c>
      <c r="B20" s="41" t="s">
        <v>32</v>
      </c>
      <c r="C20" s="42">
        <f t="shared" ref="C20:G20" si="3">+C21*2080</f>
        <v>41212.703999999998</v>
      </c>
      <c r="D20" s="42">
        <f t="shared" si="3"/>
        <v>43085.744000000006</v>
      </c>
      <c r="E20" s="42">
        <f t="shared" si="3"/>
        <v>45015.152000000002</v>
      </c>
      <c r="F20" s="42">
        <f t="shared" si="3"/>
        <v>47031.92</v>
      </c>
      <c r="G20" s="42">
        <f t="shared" si="3"/>
        <v>49161.631999999998</v>
      </c>
      <c r="H20" s="47">
        <f>H21*2080</f>
        <v>49479.040000000001</v>
      </c>
      <c r="I20" s="39"/>
      <c r="M20" s="58"/>
      <c r="N20" s="58"/>
      <c r="O20" s="58"/>
    </row>
    <row r="21" spans="1:15" s="45" customFormat="1">
      <c r="A21" s="39"/>
      <c r="B21" s="41" t="s">
        <v>33</v>
      </c>
      <c r="C21" s="43">
        <v>19.813800000000001</v>
      </c>
      <c r="D21" s="43">
        <v>20.714300000000001</v>
      </c>
      <c r="E21" s="43">
        <v>21.6419</v>
      </c>
      <c r="F21" s="43">
        <v>22.611499999999999</v>
      </c>
      <c r="G21" s="43">
        <v>23.635400000000001</v>
      </c>
      <c r="H21" s="47">
        <v>23.788</v>
      </c>
      <c r="I21" s="39"/>
      <c r="M21" s="58"/>
      <c r="N21" s="58"/>
      <c r="O21" s="58"/>
    </row>
    <row r="22" spans="1:15" s="45" customFormat="1">
      <c r="A22" s="39"/>
      <c r="B22" s="41" t="s">
        <v>34</v>
      </c>
      <c r="C22" s="39"/>
      <c r="D22" s="39"/>
      <c r="E22" s="39"/>
      <c r="F22" s="39"/>
      <c r="G22" s="39"/>
      <c r="H22" s="44"/>
      <c r="I22" s="44"/>
      <c r="M22" s="58"/>
      <c r="N22" s="58"/>
      <c r="O22" s="58"/>
    </row>
    <row r="23" spans="1:15" s="45" customFormat="1">
      <c r="A23" s="39"/>
      <c r="B23" s="41" t="s">
        <v>36</v>
      </c>
      <c r="C23" s="39"/>
      <c r="D23" s="39"/>
      <c r="E23" s="39"/>
      <c r="F23" s="39"/>
      <c r="G23" s="39"/>
      <c r="H23" s="39"/>
      <c r="I23" s="39"/>
      <c r="M23" s="58"/>
      <c r="N23" s="58"/>
      <c r="O23" s="58"/>
    </row>
    <row r="24" spans="1:15" s="45" customFormat="1">
      <c r="A24" s="49"/>
      <c r="B24" s="41"/>
      <c r="C24" s="39"/>
      <c r="D24" s="39"/>
      <c r="E24" s="39"/>
      <c r="F24" s="39"/>
      <c r="G24" s="39"/>
      <c r="H24" s="39"/>
      <c r="I24" s="39"/>
      <c r="M24" s="58"/>
      <c r="N24" s="58"/>
      <c r="O24" s="58"/>
    </row>
    <row r="25" spans="1:15" s="45" customFormat="1">
      <c r="A25" s="49">
        <v>5</v>
      </c>
      <c r="B25" s="41" t="s">
        <v>38</v>
      </c>
      <c r="C25" s="47">
        <f t="shared" ref="C25:H25" si="4">C26*2080</f>
        <v>41424.240000000005</v>
      </c>
      <c r="D25" s="47">
        <f t="shared" si="4"/>
        <v>43284.383999999998</v>
      </c>
      <c r="E25" s="47">
        <f t="shared" si="4"/>
        <v>45202.767999999996</v>
      </c>
      <c r="F25" s="47">
        <f t="shared" si="4"/>
        <v>47269.871999999996</v>
      </c>
      <c r="G25" s="47">
        <f t="shared" si="4"/>
        <v>49395.424000000006</v>
      </c>
      <c r="H25" s="47">
        <f t="shared" si="4"/>
        <v>51639.536</v>
      </c>
      <c r="I25" s="39"/>
      <c r="M25" s="58"/>
      <c r="N25" s="58"/>
      <c r="O25" s="58"/>
    </row>
    <row r="26" spans="1:15" s="45" customFormat="1">
      <c r="A26" s="49"/>
      <c r="B26" s="41"/>
      <c r="C26" s="47">
        <v>19.915500000000002</v>
      </c>
      <c r="D26" s="47">
        <v>20.809799999999999</v>
      </c>
      <c r="E26" s="47">
        <v>21.732099999999999</v>
      </c>
      <c r="F26" s="47">
        <v>22.725899999999999</v>
      </c>
      <c r="G26" s="47">
        <v>23.747800000000002</v>
      </c>
      <c r="H26" s="47">
        <v>24.826699999999999</v>
      </c>
      <c r="I26" s="39"/>
      <c r="M26" s="58"/>
      <c r="N26" s="58"/>
      <c r="O26" s="58"/>
    </row>
    <row r="27" spans="1:15" s="45" customFormat="1">
      <c r="A27" s="39"/>
      <c r="B27" s="41"/>
      <c r="C27" s="39"/>
      <c r="D27" s="39"/>
      <c r="E27" s="39"/>
      <c r="F27" s="39"/>
      <c r="G27" s="39"/>
      <c r="H27" s="39"/>
      <c r="I27" s="39"/>
      <c r="M27" s="58"/>
      <c r="N27" s="58"/>
      <c r="O27" s="58"/>
    </row>
    <row r="28" spans="1:15" s="45" customFormat="1">
      <c r="A28" s="40">
        <v>6</v>
      </c>
      <c r="B28" s="41" t="s">
        <v>39</v>
      </c>
      <c r="C28" s="42">
        <f t="shared" ref="C28:G28" si="5">+C29*2080</f>
        <v>44612.88</v>
      </c>
      <c r="D28" s="42">
        <f t="shared" si="5"/>
        <v>46656.688000000002</v>
      </c>
      <c r="E28" s="42">
        <f t="shared" si="5"/>
        <v>48787.44</v>
      </c>
      <c r="F28" s="42">
        <f t="shared" si="5"/>
        <v>50919.439999999995</v>
      </c>
      <c r="G28" s="42">
        <f t="shared" si="5"/>
        <v>53251.328000000001</v>
      </c>
      <c r="H28" s="50">
        <f>H29*2080</f>
        <v>53914.016000000003</v>
      </c>
      <c r="I28" s="44"/>
      <c r="M28" s="58"/>
      <c r="N28" s="58"/>
      <c r="O28" s="58"/>
    </row>
    <row r="29" spans="1:15" s="45" customFormat="1">
      <c r="A29" s="39"/>
      <c r="B29" s="39"/>
      <c r="C29" s="43">
        <v>21.448499999999999</v>
      </c>
      <c r="D29" s="43">
        <v>22.431100000000001</v>
      </c>
      <c r="E29" s="43">
        <v>23.455500000000001</v>
      </c>
      <c r="F29" s="43">
        <v>24.480499999999999</v>
      </c>
      <c r="G29" s="43">
        <v>25.601600000000001</v>
      </c>
      <c r="H29" s="50">
        <v>25.920200000000001</v>
      </c>
      <c r="I29" s="44"/>
      <c r="M29" s="58"/>
      <c r="N29" s="58"/>
      <c r="O29" s="58"/>
    </row>
    <row r="30" spans="1:15" s="45" customFormat="1">
      <c r="A30" s="39"/>
      <c r="B30" s="39"/>
      <c r="C30" s="44"/>
      <c r="D30" s="44"/>
      <c r="E30" s="44"/>
      <c r="F30" s="44"/>
      <c r="G30" s="44"/>
      <c r="H30" s="44"/>
      <c r="I30" s="44"/>
      <c r="M30" s="58"/>
      <c r="N30" s="58"/>
      <c r="O30" s="58"/>
    </row>
    <row r="31" spans="1:15" s="45" customFormat="1">
      <c r="A31" s="31" t="s">
        <v>0</v>
      </c>
      <c r="B31" s="31"/>
      <c r="C31" s="31"/>
      <c r="D31" s="31"/>
      <c r="E31" s="31"/>
      <c r="F31" s="31"/>
      <c r="G31" s="31"/>
      <c r="H31" s="31"/>
      <c r="I31" s="31"/>
      <c r="M31" s="58"/>
      <c r="N31" s="58"/>
      <c r="O31" s="58"/>
    </row>
    <row r="32" spans="1:15" s="45" customFormat="1">
      <c r="A32" s="32" t="s">
        <v>1</v>
      </c>
      <c r="B32" s="31"/>
      <c r="C32" s="31"/>
      <c r="D32" s="31"/>
      <c r="E32" s="31"/>
      <c r="F32" s="31"/>
      <c r="G32" s="31"/>
      <c r="H32" s="31"/>
      <c r="I32" s="31"/>
      <c r="M32" s="58"/>
      <c r="N32" s="58"/>
      <c r="O32" s="58"/>
    </row>
    <row r="33" spans="1:15" s="45" customFormat="1" ht="15.75" thickBot="1">
      <c r="A33" s="61" t="s">
        <v>71</v>
      </c>
      <c r="B33" s="61"/>
      <c r="C33" s="61"/>
      <c r="D33" s="61"/>
      <c r="E33" s="61"/>
      <c r="F33" s="61"/>
      <c r="G33" s="61"/>
      <c r="H33" s="61"/>
      <c r="I33" s="61"/>
      <c r="J33" s="59"/>
      <c r="M33" s="58"/>
      <c r="N33" s="58"/>
      <c r="O33" s="58"/>
    </row>
    <row r="34" spans="1:15" s="45" customFormat="1">
      <c r="A34" s="33" t="s">
        <v>3</v>
      </c>
      <c r="B34" s="34"/>
      <c r="C34" s="34"/>
      <c r="D34" s="34"/>
      <c r="E34" s="34"/>
      <c r="F34" s="34"/>
      <c r="G34" s="34"/>
      <c r="H34" s="34"/>
      <c r="I34" s="35"/>
      <c r="M34" s="58"/>
      <c r="N34" s="58"/>
      <c r="O34" s="58"/>
    </row>
    <row r="35" spans="1:15" s="45" customFormat="1" ht="15.75" thickBot="1">
      <c r="A35" s="36" t="s">
        <v>4</v>
      </c>
      <c r="B35" s="37" t="s">
        <v>5</v>
      </c>
      <c r="C35" s="37" t="s">
        <v>63</v>
      </c>
      <c r="D35" s="37" t="s">
        <v>64</v>
      </c>
      <c r="E35" s="37" t="s">
        <v>65</v>
      </c>
      <c r="F35" s="37" t="s">
        <v>66</v>
      </c>
      <c r="G35" s="37" t="s">
        <v>67</v>
      </c>
      <c r="H35" s="37" t="s">
        <v>75</v>
      </c>
      <c r="I35" s="38"/>
      <c r="M35" s="58"/>
      <c r="N35" s="58"/>
      <c r="O35" s="58"/>
    </row>
    <row r="36" spans="1:15" s="45" customFormat="1" ht="35.25" customHeight="1">
      <c r="A36" s="49">
        <v>7</v>
      </c>
      <c r="B36" s="41" t="s">
        <v>60</v>
      </c>
      <c r="C36" s="51">
        <f t="shared" ref="C36:G36" si="6">+C37*2080</f>
        <v>45245.824000000001</v>
      </c>
      <c r="D36" s="51">
        <f t="shared" si="6"/>
        <v>47261.552000000003</v>
      </c>
      <c r="E36" s="51">
        <f t="shared" si="6"/>
        <v>49421.423999999999</v>
      </c>
      <c r="F36" s="51">
        <f t="shared" si="6"/>
        <v>51667.824000000001</v>
      </c>
      <c r="G36" s="51">
        <f t="shared" si="6"/>
        <v>54030.495999999999</v>
      </c>
      <c r="H36" s="52">
        <f>H37*2080</f>
        <v>54750.383999999998</v>
      </c>
      <c r="I36" s="39"/>
      <c r="M36" s="58"/>
      <c r="N36" s="58"/>
      <c r="O36" s="58"/>
    </row>
    <row r="37" spans="1:15" s="45" customFormat="1">
      <c r="A37" s="39"/>
      <c r="B37" s="41" t="s">
        <v>61</v>
      </c>
      <c r="C37" s="51">
        <v>21.752800000000001</v>
      </c>
      <c r="D37" s="51">
        <v>22.721900000000002</v>
      </c>
      <c r="E37" s="51">
        <v>23.760300000000001</v>
      </c>
      <c r="F37" s="51">
        <v>24.840299999999999</v>
      </c>
      <c r="G37" s="51">
        <v>25.976199999999999</v>
      </c>
      <c r="H37" s="51">
        <v>26.322299999999998</v>
      </c>
      <c r="I37" s="44"/>
      <c r="M37" s="58"/>
      <c r="N37" s="58"/>
      <c r="O37" s="58"/>
    </row>
    <row r="38" spans="1:15" s="45" customFormat="1">
      <c r="A38" s="39"/>
      <c r="B38" s="41"/>
      <c r="C38" s="51"/>
      <c r="D38" s="51"/>
      <c r="E38" s="51"/>
      <c r="F38" s="51"/>
      <c r="G38" s="51"/>
      <c r="H38" s="51"/>
      <c r="I38" s="44"/>
      <c r="M38" s="58"/>
      <c r="N38" s="58"/>
      <c r="O38" s="58"/>
    </row>
    <row r="39" spans="1:15" s="45" customFormat="1">
      <c r="A39" s="39"/>
      <c r="B39" s="41"/>
      <c r="C39" s="51"/>
      <c r="D39" s="51"/>
      <c r="E39" s="51"/>
      <c r="F39" s="51"/>
      <c r="G39" s="51"/>
      <c r="H39" s="51"/>
      <c r="I39" s="44"/>
      <c r="M39" s="58"/>
      <c r="N39" s="58"/>
      <c r="O39" s="58"/>
    </row>
    <row r="40" spans="1:15" s="45" customFormat="1">
      <c r="A40" s="49">
        <v>8</v>
      </c>
      <c r="B40" s="41" t="s">
        <v>43</v>
      </c>
      <c r="C40" s="51">
        <f t="shared" ref="C40:G40" si="7">+C41*2080</f>
        <v>46513.168000000005</v>
      </c>
      <c r="D40" s="51">
        <f t="shared" si="7"/>
        <v>48556.56</v>
      </c>
      <c r="E40" s="51">
        <f t="shared" si="7"/>
        <v>50774.672000000006</v>
      </c>
      <c r="F40" s="51">
        <f t="shared" si="7"/>
        <v>53078.479999999996</v>
      </c>
      <c r="G40" s="51">
        <f t="shared" si="7"/>
        <v>55526.847999999998</v>
      </c>
      <c r="H40" s="52">
        <f>H41*2080</f>
        <v>56306.016000000003</v>
      </c>
      <c r="I40" s="39"/>
      <c r="M40" s="58"/>
      <c r="N40" s="58"/>
      <c r="O40" s="58"/>
    </row>
    <row r="41" spans="1:15" s="45" customFormat="1">
      <c r="A41" s="41"/>
      <c r="B41" s="41"/>
      <c r="C41" s="51">
        <v>22.362100000000002</v>
      </c>
      <c r="D41" s="51">
        <v>23.3445</v>
      </c>
      <c r="E41" s="51">
        <v>24.410900000000002</v>
      </c>
      <c r="F41" s="51">
        <v>25.5185</v>
      </c>
      <c r="G41" s="51">
        <v>26.695599999999999</v>
      </c>
      <c r="H41" s="51">
        <v>27.0702</v>
      </c>
      <c r="I41" s="44"/>
      <c r="M41" s="58"/>
      <c r="N41" s="58"/>
      <c r="O41" s="58"/>
    </row>
    <row r="42" spans="1:15" s="45" customFormat="1">
      <c r="B42" s="41"/>
      <c r="C42" s="53"/>
      <c r="D42" s="53"/>
      <c r="E42" s="53"/>
      <c r="F42" s="53"/>
      <c r="G42" s="53"/>
      <c r="H42" s="53"/>
      <c r="M42" s="58"/>
      <c r="N42" s="58"/>
      <c r="O42" s="58"/>
    </row>
    <row r="43" spans="1:15" s="45" customFormat="1">
      <c r="A43" s="40">
        <v>9</v>
      </c>
      <c r="B43" s="41" t="s">
        <v>46</v>
      </c>
      <c r="C43" s="51">
        <f t="shared" ref="C43:G43" si="8">+C44*2080</f>
        <v>47174.192000000003</v>
      </c>
      <c r="D43" s="51">
        <f t="shared" si="8"/>
        <v>49421.423999999999</v>
      </c>
      <c r="E43" s="51">
        <f t="shared" si="8"/>
        <v>51840.671999999999</v>
      </c>
      <c r="F43" s="51">
        <f t="shared" si="8"/>
        <v>54318.576000000001</v>
      </c>
      <c r="G43" s="51">
        <f t="shared" si="8"/>
        <v>56995.536</v>
      </c>
      <c r="H43" s="51"/>
      <c r="K43" s="58"/>
      <c r="L43" s="58"/>
      <c r="M43" s="58"/>
    </row>
    <row r="44" spans="1:15" s="45" customFormat="1">
      <c r="A44" s="41"/>
      <c r="B44" s="41"/>
      <c r="C44" s="51">
        <v>22.6799</v>
      </c>
      <c r="D44" s="51">
        <v>23.760300000000001</v>
      </c>
      <c r="E44" s="51">
        <v>24.923400000000001</v>
      </c>
      <c r="F44" s="51">
        <v>26.114699999999999</v>
      </c>
      <c r="G44" s="51">
        <v>27.401700000000002</v>
      </c>
      <c r="H44" s="51"/>
      <c r="K44" s="58"/>
      <c r="L44" s="58"/>
      <c r="M44" s="58"/>
    </row>
    <row r="45" spans="1:15" s="45" customFormat="1">
      <c r="A45" s="39"/>
      <c r="B45" s="39"/>
      <c r="C45" s="51"/>
      <c r="D45" s="54"/>
      <c r="E45" s="54"/>
      <c r="F45" s="54"/>
      <c r="G45" s="54"/>
      <c r="H45" s="53"/>
      <c r="K45" s="58"/>
      <c r="L45" s="58"/>
      <c r="M45" s="58"/>
    </row>
    <row r="46" spans="1:15" s="45" customFormat="1">
      <c r="A46" s="40">
        <v>10</v>
      </c>
      <c r="B46" s="41" t="s">
        <v>47</v>
      </c>
      <c r="C46" s="51">
        <f t="shared" ref="C46:G46" si="9">+C47*2080</f>
        <v>47405.904000000002</v>
      </c>
      <c r="D46" s="51">
        <f t="shared" si="9"/>
        <v>50718.304000000004</v>
      </c>
      <c r="E46" s="51">
        <f t="shared" si="9"/>
        <v>53107.807999999997</v>
      </c>
      <c r="F46" s="51">
        <f t="shared" si="9"/>
        <v>55584.464</v>
      </c>
      <c r="G46" s="51">
        <f t="shared" si="9"/>
        <v>58263.712</v>
      </c>
      <c r="H46" s="51"/>
      <c r="K46" s="58"/>
      <c r="L46" s="58"/>
      <c r="M46" s="58"/>
    </row>
    <row r="47" spans="1:15" s="45" customFormat="1">
      <c r="A47" s="39"/>
      <c r="B47" s="41"/>
      <c r="C47" s="51">
        <v>22.7913</v>
      </c>
      <c r="D47" s="51">
        <v>24.383800000000001</v>
      </c>
      <c r="E47" s="51">
        <v>25.532599999999999</v>
      </c>
      <c r="F47" s="51">
        <v>26.723299999999998</v>
      </c>
      <c r="G47" s="51">
        <v>28.011399999999998</v>
      </c>
      <c r="H47" s="51"/>
      <c r="K47" s="58"/>
      <c r="L47" s="58"/>
      <c r="M47" s="58"/>
    </row>
    <row r="48" spans="1:15" s="45" customFormat="1">
      <c r="A48" s="39"/>
      <c r="B48" s="39"/>
      <c r="C48" s="54"/>
      <c r="D48" s="51"/>
      <c r="E48" s="51"/>
      <c r="F48" s="54"/>
      <c r="G48" s="54"/>
      <c r="H48" s="54"/>
      <c r="I48" s="39"/>
      <c r="M48" s="58"/>
      <c r="N48" s="58"/>
      <c r="O48" s="58"/>
    </row>
    <row r="49" spans="1:15" s="45" customFormat="1">
      <c r="A49" s="40">
        <v>11</v>
      </c>
      <c r="B49" s="41" t="s">
        <v>70</v>
      </c>
      <c r="C49" s="51">
        <f t="shared" ref="C49:G49" si="10">+C50*2080</f>
        <v>48414.495999999999</v>
      </c>
      <c r="D49" s="51">
        <f t="shared" si="10"/>
        <v>50631.151999999995</v>
      </c>
      <c r="E49" s="51">
        <f t="shared" si="10"/>
        <v>52936.207999999999</v>
      </c>
      <c r="F49" s="51">
        <f t="shared" si="10"/>
        <v>55355.248</v>
      </c>
      <c r="G49" s="51">
        <f t="shared" si="10"/>
        <v>57889.52</v>
      </c>
      <c r="H49" s="52">
        <f>H50*2080</f>
        <v>58840.495999999999</v>
      </c>
      <c r="I49" s="39"/>
      <c r="M49" s="58"/>
      <c r="N49" s="58"/>
      <c r="O49" s="58"/>
    </row>
    <row r="50" spans="1:15" s="45" customFormat="1">
      <c r="A50" s="39"/>
      <c r="B50" s="41" t="s">
        <v>49</v>
      </c>
      <c r="C50" s="51">
        <v>23.276199999999999</v>
      </c>
      <c r="D50" s="51">
        <v>24.341899999999999</v>
      </c>
      <c r="E50" s="51">
        <v>25.450099999999999</v>
      </c>
      <c r="F50" s="51">
        <v>26.613099999999999</v>
      </c>
      <c r="G50" s="51">
        <v>27.831499999999998</v>
      </c>
      <c r="H50" s="51">
        <v>28.288699999999999</v>
      </c>
      <c r="I50" s="44"/>
      <c r="M50" s="58"/>
      <c r="N50" s="58"/>
      <c r="O50" s="58"/>
    </row>
    <row r="51" spans="1:15" s="45" customFormat="1">
      <c r="A51" s="39"/>
      <c r="C51" s="54"/>
      <c r="D51" s="54"/>
      <c r="E51" s="54"/>
      <c r="F51" s="54"/>
      <c r="G51" s="54"/>
      <c r="H51" s="54"/>
      <c r="I51" s="39"/>
      <c r="M51" s="58"/>
      <c r="N51" s="58"/>
      <c r="O51" s="58"/>
    </row>
    <row r="52" spans="1:15" s="45" customFormat="1">
      <c r="A52" s="40">
        <v>12</v>
      </c>
      <c r="B52" s="41" t="s">
        <v>74</v>
      </c>
      <c r="C52" s="51">
        <f t="shared" ref="C52:G52" si="11">+C53*2080</f>
        <v>48990.031999999999</v>
      </c>
      <c r="D52" s="51">
        <f t="shared" si="11"/>
        <v>51149.696000000004</v>
      </c>
      <c r="E52" s="51">
        <f t="shared" si="11"/>
        <v>53193.503999999994</v>
      </c>
      <c r="F52" s="51">
        <f t="shared" si="11"/>
        <v>55355.248</v>
      </c>
      <c r="G52" s="51">
        <f t="shared" si="11"/>
        <v>57485.792000000001</v>
      </c>
      <c r="H52" s="52">
        <f>H53*2080</f>
        <v>59616.959999999999</v>
      </c>
      <c r="I52" s="39"/>
      <c r="M52" s="58"/>
      <c r="N52" s="58"/>
      <c r="O52" s="58"/>
    </row>
    <row r="53" spans="1:15" s="45" customFormat="1">
      <c r="A53" s="55"/>
      <c r="B53" s="41"/>
      <c r="C53" s="51">
        <v>23.552900000000001</v>
      </c>
      <c r="D53" s="51">
        <v>24.591200000000001</v>
      </c>
      <c r="E53" s="51">
        <v>25.573799999999999</v>
      </c>
      <c r="F53" s="51">
        <v>26.613099999999999</v>
      </c>
      <c r="G53" s="51">
        <v>27.6374</v>
      </c>
      <c r="H53" s="51">
        <v>28.661999999999999</v>
      </c>
      <c r="I53" s="44"/>
      <c r="M53" s="58"/>
      <c r="N53" s="58"/>
      <c r="O53" s="58"/>
    </row>
    <row r="54" spans="1:15" s="45" customFormat="1">
      <c r="A54" s="55"/>
      <c r="B54" s="39"/>
      <c r="C54" s="54"/>
      <c r="D54" s="54"/>
      <c r="E54" s="54"/>
      <c r="F54" s="54"/>
      <c r="G54" s="54"/>
      <c r="H54" s="54"/>
      <c r="I54" s="39"/>
      <c r="M54" s="58"/>
      <c r="N54" s="58"/>
      <c r="O54" s="58"/>
    </row>
    <row r="55" spans="1:15" s="45" customFormat="1">
      <c r="A55" s="40">
        <v>13</v>
      </c>
      <c r="B55" s="41" t="s">
        <v>51</v>
      </c>
      <c r="C55" s="51">
        <f t="shared" ref="C55:G55" si="12">+C56*2080</f>
        <v>48902.879999999997</v>
      </c>
      <c r="D55" s="51">
        <f t="shared" si="12"/>
        <v>52502.944000000003</v>
      </c>
      <c r="E55" s="51">
        <f t="shared" si="12"/>
        <v>54434.016000000003</v>
      </c>
      <c r="F55" s="51">
        <f t="shared" si="12"/>
        <v>56420.207999999999</v>
      </c>
      <c r="G55" s="51">
        <f t="shared" si="12"/>
        <v>58436.56</v>
      </c>
      <c r="H55" s="52">
        <f>H56*2080</f>
        <v>60394.255999999994</v>
      </c>
      <c r="I55" s="39"/>
      <c r="M55" s="58"/>
      <c r="N55" s="58"/>
      <c r="O55" s="58"/>
    </row>
    <row r="56" spans="1:15" s="45" customFormat="1">
      <c r="A56" s="55"/>
      <c r="B56" s="41" t="s">
        <v>52</v>
      </c>
      <c r="C56" s="51">
        <v>23.510999999999999</v>
      </c>
      <c r="D56" s="51">
        <v>25.241800000000001</v>
      </c>
      <c r="E56" s="51">
        <v>26.170200000000001</v>
      </c>
      <c r="F56" s="51">
        <v>27.1251</v>
      </c>
      <c r="G56" s="51">
        <v>28.0945</v>
      </c>
      <c r="H56" s="51">
        <v>29.035699999999999</v>
      </c>
      <c r="I56" s="44"/>
      <c r="M56" s="58"/>
      <c r="N56" s="58"/>
      <c r="O56" s="58"/>
    </row>
    <row r="57" spans="1:15" s="45" customFormat="1">
      <c r="A57" s="55"/>
      <c r="B57" s="41" t="s">
        <v>53</v>
      </c>
      <c r="C57" s="51"/>
      <c r="D57" s="51"/>
      <c r="E57" s="51"/>
      <c r="F57" s="51"/>
      <c r="G57" s="51"/>
      <c r="H57" s="51"/>
      <c r="I57" s="44"/>
      <c r="M57" s="58"/>
      <c r="N57" s="58"/>
      <c r="O57" s="58"/>
    </row>
    <row r="58" spans="1:15" s="45" customFormat="1">
      <c r="A58" s="55"/>
      <c r="B58" s="39"/>
      <c r="C58" s="54"/>
      <c r="D58" s="54"/>
      <c r="E58" s="54"/>
      <c r="F58" s="54"/>
      <c r="G58" s="54"/>
      <c r="H58" s="54"/>
      <c r="I58" s="39"/>
      <c r="M58" s="58"/>
      <c r="N58" s="58"/>
      <c r="O58" s="58"/>
    </row>
    <row r="59" spans="1:15" s="45" customFormat="1">
      <c r="A59" s="40">
        <v>14</v>
      </c>
      <c r="B59" s="41" t="s">
        <v>57</v>
      </c>
      <c r="C59" s="51">
        <f t="shared" ref="C59:G59" si="13">+C60*2080</f>
        <v>52734.864000000001</v>
      </c>
      <c r="D59" s="51">
        <f t="shared" si="13"/>
        <v>55153.904000000002</v>
      </c>
      <c r="E59" s="51">
        <f t="shared" si="13"/>
        <v>57659.056000000004</v>
      </c>
      <c r="F59" s="51">
        <f t="shared" si="13"/>
        <v>60338.304000000004</v>
      </c>
      <c r="G59" s="51">
        <f t="shared" si="13"/>
        <v>63159.616000000002</v>
      </c>
      <c r="H59" s="52">
        <f>H60*2080</f>
        <v>64456.288</v>
      </c>
      <c r="I59" s="39"/>
      <c r="M59" s="58"/>
      <c r="N59" s="58"/>
      <c r="O59" s="58"/>
    </row>
    <row r="60" spans="1:15" s="45" customFormat="1">
      <c r="A60" s="39"/>
      <c r="B60" s="41" t="s">
        <v>58</v>
      </c>
      <c r="C60" s="51">
        <v>25.353300000000001</v>
      </c>
      <c r="D60" s="51">
        <v>26.516300000000001</v>
      </c>
      <c r="E60" s="51">
        <v>27.720700000000001</v>
      </c>
      <c r="F60" s="51">
        <v>29.008800000000001</v>
      </c>
      <c r="G60" s="51">
        <v>30.365200000000002</v>
      </c>
      <c r="H60" s="56">
        <v>30.988600000000002</v>
      </c>
      <c r="I60" s="50"/>
      <c r="M60" s="58"/>
      <c r="N60" s="58"/>
      <c r="O60" s="58"/>
    </row>
    <row r="61" spans="1:15" s="45" customFormat="1">
      <c r="A61" s="49"/>
      <c r="B61" s="41" t="s">
        <v>72</v>
      </c>
      <c r="C61" s="51"/>
      <c r="D61" s="51"/>
      <c r="E61" s="51"/>
      <c r="F61" s="51"/>
      <c r="G61" s="51"/>
      <c r="H61" s="52"/>
      <c r="I61" s="52"/>
      <c r="M61" s="58"/>
      <c r="N61" s="58"/>
      <c r="O61" s="58"/>
    </row>
    <row r="62" spans="1:15">
      <c r="A62" s="41"/>
      <c r="B62" s="41"/>
      <c r="C62" s="51"/>
      <c r="D62" s="51"/>
      <c r="E62" s="51"/>
      <c r="F62" s="51"/>
      <c r="G62" s="51"/>
      <c r="H62" s="51"/>
      <c r="I62" s="51"/>
      <c r="M62" s="19"/>
      <c r="N62" s="19"/>
      <c r="O62" s="19"/>
    </row>
    <row r="63" spans="1:15">
      <c r="B63" s="10"/>
      <c r="F63" s="22"/>
      <c r="M63" s="19"/>
      <c r="N63" s="19"/>
      <c r="O63" s="19"/>
    </row>
    <row r="64" spans="1:15">
      <c r="M64" s="19"/>
      <c r="N64" s="19"/>
      <c r="O64" s="19"/>
    </row>
    <row r="65" spans="1:16">
      <c r="A65" s="11"/>
      <c r="B65" s="10"/>
      <c r="C65" s="18"/>
      <c r="D65" s="18"/>
      <c r="E65" s="18"/>
      <c r="F65" s="18"/>
      <c r="G65" s="18"/>
      <c r="H65" s="30"/>
      <c r="I65" s="15"/>
      <c r="N65" s="19"/>
      <c r="O65" s="19"/>
      <c r="P65" s="19"/>
    </row>
    <row r="66" spans="1:16">
      <c r="A66" s="11"/>
      <c r="B66" s="10"/>
      <c r="C66" s="11"/>
      <c r="D66" s="11"/>
      <c r="E66" s="11"/>
      <c r="F66" s="11"/>
      <c r="G66" s="11"/>
      <c r="H66" s="11"/>
      <c r="I66" s="11"/>
      <c r="N66" s="19"/>
      <c r="O66" s="19"/>
      <c r="P66" s="19"/>
    </row>
    <row r="67" spans="1:16">
      <c r="A67" s="11"/>
      <c r="B67" s="10"/>
      <c r="C67" s="11"/>
      <c r="D67" s="11"/>
      <c r="E67" s="11"/>
      <c r="F67" s="11"/>
      <c r="G67" s="11"/>
      <c r="H67" s="11"/>
      <c r="I67" s="11"/>
      <c r="N67" s="19"/>
      <c r="O67" s="19"/>
      <c r="P67" s="19"/>
    </row>
    <row r="68" spans="1:16">
      <c r="B68" s="10"/>
      <c r="F68" s="22"/>
      <c r="N68" s="19"/>
      <c r="O68" s="19"/>
      <c r="P68" s="19"/>
    </row>
  </sheetData>
  <mergeCells count="2">
    <mergeCell ref="A3:I3"/>
    <mergeCell ref="A33:I33"/>
  </mergeCells>
  <pageMargins left="0.25" right="0.25" top="0.75" bottom="0.75" header="0.3" footer="0.3"/>
  <pageSetup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FA94-5882-44E6-AA8D-779FAA527DC9}">
  <dimension ref="A1:N61"/>
  <sheetViews>
    <sheetView topLeftCell="A9" workbookViewId="0">
      <selection activeCell="B58" sqref="B58"/>
    </sheetView>
  </sheetViews>
  <sheetFormatPr defaultRowHeight="15"/>
  <cols>
    <col min="2" max="2" width="27.44140625" bestFit="1" customWidth="1"/>
    <col min="3" max="8" width="11.44140625" bestFit="1" customWidth="1"/>
  </cols>
  <sheetData>
    <row r="1" spans="1:14" s="45" customFormat="1">
      <c r="A1" s="31" t="s">
        <v>0</v>
      </c>
      <c r="B1" s="31"/>
      <c r="C1" s="31"/>
      <c r="D1" s="31"/>
      <c r="E1" s="31"/>
      <c r="F1" s="31"/>
      <c r="G1" s="31" t="s">
        <v>76</v>
      </c>
      <c r="H1" s="31"/>
      <c r="L1" s="58"/>
      <c r="M1" s="58"/>
      <c r="N1" s="58"/>
    </row>
    <row r="2" spans="1:14" s="45" customFormat="1">
      <c r="A2" s="32" t="s">
        <v>1</v>
      </c>
      <c r="B2" s="31"/>
      <c r="C2" s="31"/>
      <c r="D2" s="31"/>
      <c r="E2" s="31"/>
      <c r="F2" s="31"/>
      <c r="G2" s="31"/>
      <c r="H2" s="31"/>
      <c r="L2" s="58"/>
      <c r="M2" s="58"/>
      <c r="N2" s="58"/>
    </row>
    <row r="3" spans="1:14" s="45" customFormat="1" ht="15.75" thickBot="1">
      <c r="A3" s="61" t="s">
        <v>71</v>
      </c>
      <c r="B3" s="61"/>
      <c r="C3" s="61"/>
      <c r="D3" s="61"/>
      <c r="E3" s="61"/>
      <c r="F3" s="61"/>
      <c r="G3" s="61"/>
      <c r="H3" s="61"/>
      <c r="L3" s="58"/>
      <c r="M3" s="58"/>
      <c r="N3" s="58"/>
    </row>
    <row r="4" spans="1:14" s="45" customFormat="1">
      <c r="A4" s="33" t="s">
        <v>3</v>
      </c>
      <c r="B4" s="34"/>
      <c r="C4" s="34"/>
      <c r="D4" s="34"/>
      <c r="E4" s="34"/>
      <c r="F4" s="34"/>
      <c r="G4" s="34"/>
      <c r="H4" s="35"/>
      <c r="I4" s="58"/>
      <c r="J4" s="58"/>
      <c r="K4" s="58"/>
    </row>
    <row r="5" spans="1:14" s="45" customFormat="1" ht="15.75" thickBot="1">
      <c r="A5" s="36" t="s">
        <v>4</v>
      </c>
      <c r="B5" s="37" t="s">
        <v>5</v>
      </c>
      <c r="C5" s="37" t="s">
        <v>63</v>
      </c>
      <c r="D5" s="37" t="s">
        <v>64</v>
      </c>
      <c r="E5" s="37" t="s">
        <v>65</v>
      </c>
      <c r="F5" s="37" t="s">
        <v>66</v>
      </c>
      <c r="G5" s="37" t="s">
        <v>67</v>
      </c>
      <c r="H5" s="38"/>
      <c r="J5" s="58"/>
      <c r="K5" s="58"/>
      <c r="L5" s="58"/>
    </row>
    <row r="6" spans="1:14" s="45" customFormat="1">
      <c r="A6" s="39"/>
      <c r="B6" s="39"/>
      <c r="C6" s="39"/>
      <c r="D6" s="39"/>
      <c r="E6" s="39"/>
      <c r="F6" s="39"/>
      <c r="G6" s="39"/>
      <c r="H6" s="39"/>
      <c r="K6" s="58"/>
      <c r="L6" s="58"/>
      <c r="M6" s="58"/>
    </row>
    <row r="7" spans="1:14" s="45" customFormat="1">
      <c r="A7" s="40">
        <v>1</v>
      </c>
      <c r="B7" s="41" t="s">
        <v>18</v>
      </c>
      <c r="C7" s="42">
        <f t="shared" ref="C7:G7" si="0">+C8*2080</f>
        <v>37465.584000000003</v>
      </c>
      <c r="D7" s="42">
        <f t="shared" si="0"/>
        <v>39094.847999999998</v>
      </c>
      <c r="E7" s="42">
        <f t="shared" si="0"/>
        <v>40811.887999999999</v>
      </c>
      <c r="F7" s="42">
        <f t="shared" si="0"/>
        <v>42499.392</v>
      </c>
      <c r="G7" s="42">
        <f t="shared" si="0"/>
        <v>42499.392</v>
      </c>
      <c r="K7" s="58"/>
      <c r="L7" s="58"/>
      <c r="M7" s="58"/>
    </row>
    <row r="8" spans="1:14" s="45" customFormat="1">
      <c r="A8" s="39"/>
      <c r="B8" s="41" t="s">
        <v>19</v>
      </c>
      <c r="C8" s="43">
        <v>18.0123</v>
      </c>
      <c r="D8" s="43">
        <v>18.7956</v>
      </c>
      <c r="E8" s="43">
        <v>19.621099999999998</v>
      </c>
      <c r="F8" s="43">
        <v>20.432400000000001</v>
      </c>
      <c r="G8" s="43">
        <v>20.432400000000001</v>
      </c>
      <c r="K8" s="58"/>
      <c r="L8" s="58"/>
      <c r="M8" s="58"/>
    </row>
    <row r="9" spans="1:14" s="45" customFormat="1">
      <c r="A9" s="39"/>
      <c r="B9" s="41" t="s">
        <v>68</v>
      </c>
      <c r="C9" s="39"/>
      <c r="D9" s="39"/>
      <c r="E9" s="39"/>
      <c r="F9" s="39"/>
      <c r="G9" s="39"/>
      <c r="K9" s="58"/>
      <c r="L9" s="58"/>
      <c r="M9" s="58"/>
    </row>
    <row r="10" spans="1:14" s="45" customFormat="1">
      <c r="A10" s="39"/>
      <c r="B10" s="41" t="s">
        <v>69</v>
      </c>
      <c r="C10" s="39"/>
      <c r="D10" s="39"/>
      <c r="E10" s="39"/>
      <c r="F10" s="39"/>
      <c r="G10" s="39"/>
      <c r="K10" s="58"/>
      <c r="L10" s="58"/>
      <c r="M10" s="58"/>
    </row>
    <row r="11" spans="1:14" s="45" customFormat="1">
      <c r="A11" s="39"/>
      <c r="C11" s="46"/>
      <c r="D11" s="46"/>
      <c r="E11" s="39"/>
      <c r="F11" s="39"/>
      <c r="G11" s="39"/>
      <c r="K11" s="58"/>
      <c r="L11" s="58"/>
      <c r="M11" s="58"/>
    </row>
    <row r="12" spans="1:14" s="45" customFormat="1">
      <c r="A12" s="40">
        <v>2</v>
      </c>
      <c r="B12" s="41" t="s">
        <v>24</v>
      </c>
      <c r="C12" s="42">
        <f t="shared" ref="C12:F12" si="1">+C13*2080</f>
        <v>40287.727999999996</v>
      </c>
      <c r="D12" s="42">
        <f t="shared" si="1"/>
        <v>42090.671999999999</v>
      </c>
      <c r="E12" s="42">
        <f t="shared" si="1"/>
        <v>43952.688000000002</v>
      </c>
      <c r="F12" s="42">
        <f t="shared" si="1"/>
        <v>45959.887999999999</v>
      </c>
      <c r="G12" s="47">
        <f>G13*2080</f>
        <v>46046.623999999996</v>
      </c>
      <c r="K12" s="58"/>
      <c r="L12" s="58"/>
      <c r="M12" s="58"/>
    </row>
    <row r="13" spans="1:14" s="45" customFormat="1">
      <c r="A13" s="39"/>
      <c r="B13" s="41" t="s">
        <v>25</v>
      </c>
      <c r="C13" s="43">
        <v>19.3691</v>
      </c>
      <c r="D13" s="43">
        <v>20.235900000000001</v>
      </c>
      <c r="E13" s="43">
        <v>21.1311</v>
      </c>
      <c r="F13" s="43">
        <v>22.0961</v>
      </c>
      <c r="G13" s="48">
        <v>22.137799999999999</v>
      </c>
      <c r="K13" s="58"/>
      <c r="L13" s="58"/>
      <c r="M13" s="58"/>
    </row>
    <row r="14" spans="1:14" s="45" customFormat="1">
      <c r="A14" s="39"/>
      <c r="B14" s="41" t="s">
        <v>26</v>
      </c>
      <c r="C14" s="39"/>
      <c r="D14" s="39"/>
      <c r="E14" s="39"/>
      <c r="F14" s="39"/>
      <c r="G14" s="39"/>
      <c r="K14" s="58"/>
      <c r="L14" s="58"/>
      <c r="M14" s="58"/>
    </row>
    <row r="15" spans="1:14" s="45" customFormat="1">
      <c r="A15" s="39"/>
      <c r="B15" s="41" t="s">
        <v>27</v>
      </c>
      <c r="C15" s="39"/>
      <c r="D15" s="39"/>
      <c r="E15" s="39"/>
      <c r="F15" s="39"/>
      <c r="G15" s="39"/>
      <c r="K15" s="58"/>
      <c r="L15" s="58"/>
      <c r="M15" s="58"/>
    </row>
    <row r="16" spans="1:14" s="45" customFormat="1">
      <c r="A16" s="39"/>
      <c r="C16" s="39"/>
      <c r="D16" s="39"/>
      <c r="E16" s="39"/>
      <c r="F16" s="39"/>
      <c r="G16" s="39"/>
      <c r="K16" s="58"/>
      <c r="L16" s="58"/>
      <c r="M16" s="58"/>
    </row>
    <row r="17" spans="1:14" s="45" customFormat="1">
      <c r="A17" s="40">
        <v>3</v>
      </c>
      <c r="B17" s="41" t="s">
        <v>31</v>
      </c>
      <c r="C17" s="42">
        <f t="shared" ref="C17:F17" si="2">+C18*2080</f>
        <v>41858.959999999999</v>
      </c>
      <c r="D17" s="42">
        <f t="shared" si="2"/>
        <v>43719.936000000002</v>
      </c>
      <c r="E17" s="42">
        <f t="shared" si="2"/>
        <v>45698.224000000002</v>
      </c>
      <c r="F17" s="42">
        <f t="shared" si="2"/>
        <v>47734.128000000004</v>
      </c>
      <c r="G17" s="47">
        <f>G18*2080</f>
        <v>47937.136000000006</v>
      </c>
      <c r="K17" s="58"/>
      <c r="L17" s="58"/>
      <c r="M17" s="58"/>
    </row>
    <row r="18" spans="1:14" s="45" customFormat="1">
      <c r="A18" s="39"/>
      <c r="B18" s="39"/>
      <c r="C18" s="43">
        <v>20.124500000000001</v>
      </c>
      <c r="D18" s="43">
        <v>21.019200000000001</v>
      </c>
      <c r="E18" s="43">
        <v>21.970300000000002</v>
      </c>
      <c r="F18" s="43">
        <v>22.949100000000001</v>
      </c>
      <c r="G18" s="47">
        <v>23.046700000000001</v>
      </c>
      <c r="K18" s="58"/>
      <c r="L18" s="58"/>
      <c r="M18" s="58"/>
    </row>
    <row r="19" spans="1:14" s="45" customFormat="1">
      <c r="A19" s="39"/>
      <c r="B19" s="39"/>
      <c r="C19" s="39"/>
      <c r="D19" s="39"/>
      <c r="E19" s="39"/>
      <c r="F19" s="39"/>
      <c r="G19" s="44"/>
      <c r="K19" s="58"/>
      <c r="L19" s="58"/>
      <c r="M19" s="58"/>
    </row>
    <row r="20" spans="1:14" s="45" customFormat="1">
      <c r="A20" s="40">
        <v>4</v>
      </c>
      <c r="B20" s="41" t="s">
        <v>32</v>
      </c>
      <c r="C20" s="42">
        <f t="shared" ref="C20:F20" si="3">+C21*2080</f>
        <v>43516.511999999995</v>
      </c>
      <c r="D20" s="42">
        <f t="shared" si="3"/>
        <v>45465.264000000003</v>
      </c>
      <c r="E20" s="42">
        <f t="shared" si="3"/>
        <v>47502.207999999999</v>
      </c>
      <c r="F20" s="42">
        <f t="shared" si="3"/>
        <v>49653.343999999997</v>
      </c>
      <c r="G20" s="47">
        <f>G21*2080</f>
        <v>49973.872000000003</v>
      </c>
      <c r="K20" s="58"/>
      <c r="L20" s="58"/>
      <c r="M20" s="58"/>
    </row>
    <row r="21" spans="1:14" s="45" customFormat="1">
      <c r="A21" s="39"/>
      <c r="B21" s="41" t="s">
        <v>33</v>
      </c>
      <c r="C21" s="43">
        <v>20.921399999999998</v>
      </c>
      <c r="D21" s="43">
        <v>21.8583</v>
      </c>
      <c r="E21" s="43">
        <v>22.837599999999998</v>
      </c>
      <c r="F21" s="43">
        <v>23.8718</v>
      </c>
      <c r="G21" s="47">
        <v>24.0259</v>
      </c>
      <c r="K21" s="58"/>
      <c r="L21" s="58"/>
      <c r="M21" s="58"/>
    </row>
    <row r="22" spans="1:14" s="45" customFormat="1">
      <c r="A22" s="39"/>
      <c r="B22" s="41" t="s">
        <v>34</v>
      </c>
      <c r="C22" s="39"/>
      <c r="D22" s="39"/>
      <c r="E22" s="39"/>
      <c r="F22" s="39"/>
      <c r="G22" s="44"/>
      <c r="K22" s="58"/>
      <c r="L22" s="58"/>
      <c r="M22" s="58"/>
    </row>
    <row r="23" spans="1:14" s="45" customFormat="1">
      <c r="A23" s="39"/>
      <c r="B23" s="41" t="s">
        <v>36</v>
      </c>
      <c r="C23" s="39"/>
      <c r="D23" s="39"/>
      <c r="E23" s="39"/>
      <c r="F23" s="39"/>
      <c r="G23" s="39"/>
      <c r="K23" s="58"/>
      <c r="L23" s="58"/>
      <c r="M23" s="58"/>
    </row>
    <row r="24" spans="1:14" s="45" customFormat="1">
      <c r="A24" s="49"/>
      <c r="B24" s="41"/>
      <c r="C24" s="39"/>
      <c r="D24" s="39"/>
      <c r="E24" s="39"/>
      <c r="F24" s="39"/>
      <c r="G24" s="39"/>
      <c r="K24" s="58"/>
      <c r="L24" s="58"/>
      <c r="M24" s="58"/>
    </row>
    <row r="25" spans="1:14" s="45" customFormat="1">
      <c r="A25" s="49">
        <v>5</v>
      </c>
      <c r="B25" s="41" t="s">
        <v>38</v>
      </c>
      <c r="C25" s="47">
        <f t="shared" ref="C25:G25" si="4">C26*2080</f>
        <v>43717.232000000004</v>
      </c>
      <c r="D25" s="47">
        <f t="shared" si="4"/>
        <v>45654.752</v>
      </c>
      <c r="E25" s="47">
        <f t="shared" si="4"/>
        <v>47742.655999999995</v>
      </c>
      <c r="F25" s="47">
        <f t="shared" si="4"/>
        <v>49889.423999999999</v>
      </c>
      <c r="G25" s="47">
        <f t="shared" si="4"/>
        <v>52156</v>
      </c>
      <c r="K25" s="58"/>
      <c r="L25" s="58"/>
      <c r="M25" s="58"/>
    </row>
    <row r="26" spans="1:14" s="45" customFormat="1">
      <c r="A26" s="49"/>
      <c r="B26" s="41"/>
      <c r="C26" s="47">
        <v>21.017900000000001</v>
      </c>
      <c r="D26" s="47">
        <v>21.949400000000001</v>
      </c>
      <c r="E26" s="47">
        <v>22.953199999999999</v>
      </c>
      <c r="F26" s="47">
        <v>23.985299999999999</v>
      </c>
      <c r="G26" s="47">
        <v>25.074999999999999</v>
      </c>
      <c r="K26" s="58"/>
      <c r="L26" s="58"/>
      <c r="M26" s="58"/>
    </row>
    <row r="27" spans="1:14" s="45" customFormat="1">
      <c r="A27" s="39"/>
      <c r="B27" s="41"/>
      <c r="C27" s="39"/>
      <c r="D27" s="39"/>
      <c r="E27" s="39"/>
      <c r="F27" s="39"/>
      <c r="G27" s="39"/>
      <c r="K27" s="58"/>
      <c r="L27" s="58"/>
      <c r="M27" s="58"/>
    </row>
    <row r="28" spans="1:14" s="45" customFormat="1">
      <c r="A28" s="40">
        <v>6</v>
      </c>
      <c r="B28" s="41" t="s">
        <v>39</v>
      </c>
      <c r="C28" s="42">
        <f t="shared" ref="C28:F28" si="5">+C29*2080</f>
        <v>47123.232000000004</v>
      </c>
      <c r="D28" s="42">
        <f t="shared" si="5"/>
        <v>49275.408000000003</v>
      </c>
      <c r="E28" s="42">
        <f t="shared" si="5"/>
        <v>51428.624000000003</v>
      </c>
      <c r="F28" s="42">
        <f t="shared" si="5"/>
        <v>53783.808000000005</v>
      </c>
      <c r="G28" s="50">
        <f>G29*2080</f>
        <v>54453.152000000002</v>
      </c>
      <c r="K28" s="58"/>
      <c r="L28" s="58"/>
      <c r="M28" s="58"/>
    </row>
    <row r="29" spans="1:14" s="45" customFormat="1">
      <c r="A29" s="39"/>
      <c r="B29" s="39"/>
      <c r="C29" s="43">
        <v>22.6554</v>
      </c>
      <c r="D29" s="43">
        <v>23.690100000000001</v>
      </c>
      <c r="E29" s="43">
        <v>24.725300000000001</v>
      </c>
      <c r="F29" s="43">
        <v>25.857600000000001</v>
      </c>
      <c r="G29" s="50">
        <v>26.179400000000001</v>
      </c>
      <c r="K29" s="58"/>
      <c r="L29" s="58"/>
      <c r="M29" s="58"/>
    </row>
    <row r="30" spans="1:14" s="45" customFormat="1">
      <c r="A30" s="39"/>
      <c r="B30" s="39"/>
      <c r="C30" s="44"/>
      <c r="D30" s="44"/>
      <c r="E30" s="44"/>
      <c r="F30" s="44"/>
      <c r="G30" s="44"/>
      <c r="H30" s="44"/>
      <c r="L30" s="58"/>
      <c r="M30" s="58"/>
      <c r="N30" s="58"/>
    </row>
    <row r="31" spans="1:14" s="45" customFormat="1">
      <c r="A31" s="31" t="s">
        <v>0</v>
      </c>
      <c r="B31" s="31"/>
      <c r="C31" s="31"/>
      <c r="D31" s="31"/>
      <c r="E31" s="31"/>
      <c r="F31" s="31"/>
      <c r="G31" s="31"/>
      <c r="H31" s="31"/>
      <c r="L31" s="58"/>
      <c r="M31" s="58"/>
      <c r="N31" s="58"/>
    </row>
    <row r="32" spans="1:14" s="45" customFormat="1">
      <c r="A32" s="32" t="s">
        <v>1</v>
      </c>
      <c r="B32" s="31"/>
      <c r="C32" s="31"/>
      <c r="D32" s="31"/>
      <c r="E32" s="31"/>
      <c r="F32" s="31"/>
      <c r="G32" s="31"/>
      <c r="H32" s="31"/>
      <c r="L32" s="58"/>
      <c r="M32" s="58"/>
      <c r="N32" s="58"/>
    </row>
    <row r="33" spans="1:14" s="45" customFormat="1" ht="15.75" thickBot="1">
      <c r="A33" s="61" t="s">
        <v>71</v>
      </c>
      <c r="B33" s="61"/>
      <c r="C33" s="61"/>
      <c r="D33" s="61"/>
      <c r="E33" s="61"/>
      <c r="F33" s="61"/>
      <c r="G33" s="61"/>
      <c r="H33" s="61"/>
      <c r="I33" s="59"/>
      <c r="L33" s="58"/>
      <c r="M33" s="58"/>
      <c r="N33" s="58"/>
    </row>
    <row r="34" spans="1:14" s="45" customFormat="1">
      <c r="A34" s="33" t="s">
        <v>3</v>
      </c>
      <c r="B34" s="34"/>
      <c r="C34" s="34"/>
      <c r="D34" s="34"/>
      <c r="E34" s="34"/>
      <c r="F34" s="34"/>
      <c r="G34" s="34"/>
      <c r="H34" s="35"/>
      <c r="K34" s="58"/>
      <c r="L34" s="58"/>
      <c r="M34" s="58"/>
    </row>
    <row r="35" spans="1:14" s="45" customFormat="1" ht="15.75" thickBot="1">
      <c r="A35" s="36" t="s">
        <v>4</v>
      </c>
      <c r="B35" s="37" t="s">
        <v>5</v>
      </c>
      <c r="C35" s="37" t="s">
        <v>63</v>
      </c>
      <c r="D35" s="37" t="s">
        <v>64</v>
      </c>
      <c r="E35" s="37" t="s">
        <v>65</v>
      </c>
      <c r="F35" s="37" t="s">
        <v>66</v>
      </c>
      <c r="G35" s="37" t="s">
        <v>67</v>
      </c>
      <c r="H35" s="38"/>
      <c r="K35" s="58"/>
      <c r="L35" s="58"/>
      <c r="M35" s="58"/>
    </row>
    <row r="36" spans="1:14" s="45" customFormat="1" ht="35.25" customHeight="1">
      <c r="A36" s="49">
        <v>7</v>
      </c>
      <c r="B36" s="41" t="s">
        <v>60</v>
      </c>
      <c r="C36" s="51">
        <f t="shared" ref="C36:F36" si="6">+C37*2080</f>
        <v>47734.128000000004</v>
      </c>
      <c r="D36" s="51">
        <f t="shared" si="6"/>
        <v>49915.632000000005</v>
      </c>
      <c r="E36" s="51">
        <f t="shared" si="6"/>
        <v>52184.495999999999</v>
      </c>
      <c r="F36" s="51">
        <f t="shared" si="6"/>
        <v>54570.880000000005</v>
      </c>
      <c r="G36" s="52">
        <f>G37*2080</f>
        <v>55297.84</v>
      </c>
      <c r="K36" s="58"/>
      <c r="L36" s="58"/>
      <c r="M36" s="58"/>
    </row>
    <row r="37" spans="1:14" s="45" customFormat="1">
      <c r="A37" s="39"/>
      <c r="B37" s="41" t="s">
        <v>61</v>
      </c>
      <c r="C37" s="51">
        <v>22.949100000000001</v>
      </c>
      <c r="D37" s="51">
        <v>23.997900000000001</v>
      </c>
      <c r="E37" s="51">
        <v>25.088699999999999</v>
      </c>
      <c r="F37" s="51">
        <v>26.236000000000001</v>
      </c>
      <c r="G37" s="51">
        <v>26.5855</v>
      </c>
      <c r="K37" s="58"/>
      <c r="L37" s="58"/>
      <c r="M37" s="58"/>
    </row>
    <row r="38" spans="1:14" s="45" customFormat="1">
      <c r="A38" s="39"/>
      <c r="B38" s="41"/>
      <c r="C38" s="51"/>
      <c r="D38" s="51"/>
      <c r="E38" s="51"/>
      <c r="F38" s="51"/>
      <c r="G38" s="51"/>
      <c r="K38" s="58"/>
      <c r="L38" s="58"/>
      <c r="M38" s="58"/>
    </row>
    <row r="39" spans="1:14" s="45" customFormat="1">
      <c r="A39" s="49">
        <v>8</v>
      </c>
      <c r="B39" s="41" t="s">
        <v>43</v>
      </c>
      <c r="C39" s="51">
        <f t="shared" ref="C39:F39" si="7">+C40*2080</f>
        <v>49042.031999999999</v>
      </c>
      <c r="D39" s="51">
        <f t="shared" si="7"/>
        <v>51282.400000000001</v>
      </c>
      <c r="E39" s="51">
        <f t="shared" si="7"/>
        <v>53609.296000000002</v>
      </c>
      <c r="F39" s="51">
        <f t="shared" si="7"/>
        <v>56082.207999999999</v>
      </c>
      <c r="G39" s="52">
        <f>G40*2080</f>
        <v>56869.072</v>
      </c>
      <c r="K39" s="58"/>
      <c r="L39" s="58"/>
      <c r="M39" s="58"/>
    </row>
    <row r="40" spans="1:14" s="45" customFormat="1">
      <c r="A40" s="41"/>
      <c r="B40" s="41"/>
      <c r="C40" s="51">
        <v>23.5779</v>
      </c>
      <c r="D40" s="51">
        <v>24.655000000000001</v>
      </c>
      <c r="E40" s="51">
        <v>25.773700000000002</v>
      </c>
      <c r="F40" s="51">
        <v>26.962599999999998</v>
      </c>
      <c r="G40" s="51">
        <v>27.340900000000001</v>
      </c>
      <c r="K40" s="58"/>
      <c r="L40" s="58"/>
      <c r="M40" s="58"/>
    </row>
    <row r="41" spans="1:14" s="45" customFormat="1">
      <c r="B41" s="41"/>
      <c r="C41" s="53"/>
      <c r="D41" s="53"/>
      <c r="E41" s="53"/>
      <c r="F41" s="53"/>
      <c r="G41" s="53"/>
      <c r="K41" s="58"/>
      <c r="L41" s="58"/>
      <c r="M41" s="58"/>
    </row>
    <row r="42" spans="1:14" s="45" customFormat="1">
      <c r="A42" s="40">
        <v>9</v>
      </c>
      <c r="B42" s="41" t="s">
        <v>46</v>
      </c>
      <c r="C42" s="42">
        <f>C43*2080</f>
        <v>47645.936000000002</v>
      </c>
      <c r="D42" s="51">
        <f t="shared" ref="D42:G42" si="8">+D43*2080</f>
        <v>49915.632000000005</v>
      </c>
      <c r="E42" s="51">
        <f t="shared" si="8"/>
        <v>52359.008000000002</v>
      </c>
      <c r="F42" s="51">
        <f t="shared" si="8"/>
        <v>54861.664000000004</v>
      </c>
      <c r="G42" s="51">
        <f t="shared" si="8"/>
        <v>57565.455999999998</v>
      </c>
      <c r="H42" s="51"/>
      <c r="J42" s="58"/>
      <c r="K42" s="58"/>
      <c r="L42" s="58"/>
    </row>
    <row r="43" spans="1:14" s="45" customFormat="1">
      <c r="A43" s="41"/>
      <c r="B43" s="41"/>
      <c r="C43" s="42">
        <v>22.906700000000001</v>
      </c>
      <c r="D43" s="51">
        <v>23.997900000000001</v>
      </c>
      <c r="E43" s="51">
        <v>25.172599999999999</v>
      </c>
      <c r="F43" s="51">
        <v>26.375800000000002</v>
      </c>
      <c r="G43" s="51">
        <v>27.675699999999999</v>
      </c>
      <c r="H43" s="51"/>
      <c r="J43" s="58"/>
      <c r="K43" s="58"/>
      <c r="L43" s="58"/>
    </row>
    <row r="44" spans="1:14" s="45" customFormat="1">
      <c r="A44" s="39"/>
      <c r="B44" s="39"/>
      <c r="C44" s="39"/>
      <c r="D44" s="54"/>
      <c r="E44" s="54"/>
      <c r="F44" s="54"/>
      <c r="G44" s="54"/>
      <c r="H44" s="53"/>
      <c r="J44" s="58"/>
      <c r="K44" s="58"/>
      <c r="L44" s="58"/>
    </row>
    <row r="45" spans="1:14" s="45" customFormat="1">
      <c r="A45" s="40">
        <v>10</v>
      </c>
      <c r="B45" s="41" t="s">
        <v>47</v>
      </c>
      <c r="C45" s="42">
        <f>C46*2080</f>
        <v>47879.936000000002</v>
      </c>
      <c r="D45" s="51">
        <f t="shared" ref="D45:G45" si="9">+D46*2080</f>
        <v>51226.031999999999</v>
      </c>
      <c r="E45" s="51">
        <f t="shared" si="9"/>
        <v>53638.832000000002</v>
      </c>
      <c r="F45" s="51">
        <f t="shared" si="9"/>
        <v>56140.240000000005</v>
      </c>
      <c r="G45" s="51">
        <f t="shared" si="9"/>
        <v>58846.32</v>
      </c>
      <c r="H45" s="51"/>
      <c r="J45" s="58"/>
      <c r="K45" s="58"/>
      <c r="L45" s="58"/>
    </row>
    <row r="46" spans="1:14" s="45" customFormat="1">
      <c r="A46" s="39"/>
      <c r="B46" s="41"/>
      <c r="C46" s="42">
        <v>23.019200000000001</v>
      </c>
      <c r="D46" s="51">
        <v>24.6279</v>
      </c>
      <c r="E46" s="51">
        <v>25.7879</v>
      </c>
      <c r="F46" s="51">
        <v>26.990500000000001</v>
      </c>
      <c r="G46" s="51">
        <v>28.291499999999999</v>
      </c>
      <c r="H46" s="51"/>
      <c r="J46" s="58"/>
      <c r="K46" s="58"/>
      <c r="L46" s="58"/>
    </row>
    <row r="47" spans="1:14" s="45" customFormat="1">
      <c r="A47" s="39"/>
      <c r="B47" s="39"/>
      <c r="C47" s="51"/>
      <c r="D47" s="51"/>
      <c r="E47" s="54"/>
      <c r="F47" s="54"/>
      <c r="G47" s="54"/>
      <c r="K47" s="58"/>
      <c r="L47" s="58"/>
      <c r="M47" s="58"/>
    </row>
    <row r="48" spans="1:14" s="45" customFormat="1">
      <c r="A48" s="40">
        <v>11</v>
      </c>
      <c r="B48" s="41" t="s">
        <v>70</v>
      </c>
      <c r="C48" s="51">
        <f t="shared" ref="C48:F48" si="10">+C49*2080</f>
        <v>51137.423999999999</v>
      </c>
      <c r="D48" s="51">
        <f t="shared" si="10"/>
        <v>53465.567999999999</v>
      </c>
      <c r="E48" s="51">
        <f t="shared" si="10"/>
        <v>55908.736000000004</v>
      </c>
      <c r="F48" s="51">
        <f t="shared" si="10"/>
        <v>58468.383999999998</v>
      </c>
      <c r="G48" s="52">
        <f>G49*2080</f>
        <v>59428.928</v>
      </c>
      <c r="K48" s="58"/>
      <c r="L48" s="58"/>
      <c r="M48" s="58"/>
    </row>
    <row r="49" spans="1:13" s="45" customFormat="1">
      <c r="A49" s="39"/>
      <c r="B49" s="41" t="s">
        <v>49</v>
      </c>
      <c r="C49" s="51">
        <v>24.5853</v>
      </c>
      <c r="D49" s="51">
        <v>25.704599999999999</v>
      </c>
      <c r="E49" s="51">
        <v>26.879200000000001</v>
      </c>
      <c r="F49" s="51">
        <v>28.1098</v>
      </c>
      <c r="G49" s="51">
        <v>28.5716</v>
      </c>
      <c r="K49" s="58"/>
      <c r="L49" s="58"/>
      <c r="M49" s="58"/>
    </row>
    <row r="50" spans="1:13" s="45" customFormat="1">
      <c r="A50" s="39"/>
      <c r="C50" s="54"/>
      <c r="D50" s="54"/>
      <c r="E50" s="54"/>
      <c r="F50" s="54"/>
      <c r="G50" s="54"/>
      <c r="K50" s="58"/>
      <c r="L50" s="58"/>
      <c r="M50" s="58"/>
    </row>
    <row r="51" spans="1:13" s="45" customFormat="1">
      <c r="A51" s="40">
        <v>12</v>
      </c>
      <c r="B51" s="41" t="s">
        <v>74</v>
      </c>
      <c r="C51" s="51">
        <f t="shared" ref="C51:F51" si="11">+C52*2080</f>
        <v>51661.167999999998</v>
      </c>
      <c r="D51" s="51">
        <f t="shared" si="11"/>
        <v>53725.36</v>
      </c>
      <c r="E51" s="51">
        <f t="shared" si="11"/>
        <v>55908.736000000004</v>
      </c>
      <c r="F51" s="51">
        <f t="shared" si="11"/>
        <v>58060.703999999998</v>
      </c>
      <c r="G51" s="52">
        <f>G52*2080</f>
        <v>60213.087999999996</v>
      </c>
      <c r="K51" s="58"/>
      <c r="L51" s="58"/>
      <c r="M51" s="58"/>
    </row>
    <row r="52" spans="1:13" s="45" customFormat="1">
      <c r="A52" s="55"/>
      <c r="B52" s="41"/>
      <c r="C52" s="51">
        <v>24.8371</v>
      </c>
      <c r="D52" s="51">
        <v>25.829499999999999</v>
      </c>
      <c r="E52" s="51">
        <v>26.879200000000001</v>
      </c>
      <c r="F52" s="51">
        <v>27.913799999999998</v>
      </c>
      <c r="G52" s="51">
        <v>28.948599999999999</v>
      </c>
      <c r="K52" s="58"/>
      <c r="L52" s="58"/>
      <c r="M52" s="58"/>
    </row>
    <row r="53" spans="1:13" s="45" customFormat="1">
      <c r="A53" s="55"/>
      <c r="B53" s="39"/>
      <c r="C53" s="54"/>
      <c r="D53" s="54"/>
      <c r="E53" s="54"/>
      <c r="F53" s="54"/>
      <c r="G53" s="54"/>
      <c r="K53" s="58"/>
      <c r="L53" s="58"/>
      <c r="M53" s="58"/>
    </row>
    <row r="54" spans="1:13" s="45" customFormat="1">
      <c r="A54" s="40">
        <v>13</v>
      </c>
      <c r="B54" s="41" t="s">
        <v>51</v>
      </c>
      <c r="C54" s="51">
        <f t="shared" ref="C54:F54" si="12">+C55*2080</f>
        <v>53027.936000000002</v>
      </c>
      <c r="D54" s="51">
        <f t="shared" si="12"/>
        <v>54978.351999999999</v>
      </c>
      <c r="E54" s="51">
        <f t="shared" si="12"/>
        <v>56984.512000000002</v>
      </c>
      <c r="F54" s="51">
        <f t="shared" si="12"/>
        <v>59020.831999999995</v>
      </c>
      <c r="G54" s="52">
        <f>G55*2080</f>
        <v>60811.088000000003</v>
      </c>
      <c r="K54" s="58"/>
      <c r="L54" s="58"/>
      <c r="M54" s="58"/>
    </row>
    <row r="55" spans="1:13" s="45" customFormat="1">
      <c r="A55" s="55"/>
      <c r="B55" s="41" t="s">
        <v>52</v>
      </c>
      <c r="C55" s="51">
        <v>25.494199999999999</v>
      </c>
      <c r="D55" s="51">
        <v>26.431899999999999</v>
      </c>
      <c r="E55" s="51">
        <v>27.3964</v>
      </c>
      <c r="F55" s="51">
        <v>28.375399999999999</v>
      </c>
      <c r="G55" s="51">
        <v>29.2361</v>
      </c>
      <c r="K55" s="58"/>
      <c r="L55" s="58"/>
      <c r="M55" s="58"/>
    </row>
    <row r="56" spans="1:13" s="45" customFormat="1">
      <c r="A56" s="55"/>
      <c r="B56" s="41" t="s">
        <v>53</v>
      </c>
      <c r="C56" s="51"/>
      <c r="D56" s="51"/>
      <c r="E56" s="51"/>
      <c r="F56" s="51"/>
      <c r="G56" s="51"/>
      <c r="K56" s="58"/>
      <c r="L56" s="58"/>
      <c r="M56" s="58"/>
    </row>
    <row r="57" spans="1:13" s="45" customFormat="1">
      <c r="A57" s="55"/>
      <c r="B57" s="39"/>
      <c r="C57" s="54"/>
      <c r="D57" s="54"/>
      <c r="E57" s="54"/>
      <c r="F57" s="54"/>
      <c r="G57" s="54"/>
      <c r="K57" s="58"/>
      <c r="L57" s="58"/>
      <c r="M57" s="58"/>
    </row>
    <row r="58" spans="1:13" s="45" customFormat="1">
      <c r="A58" s="40">
        <v>14</v>
      </c>
      <c r="B58" s="41" t="s">
        <v>57</v>
      </c>
      <c r="C58" s="51">
        <f t="shared" ref="C58:F58" si="13">+C59*2080</f>
        <v>55705.520000000004</v>
      </c>
      <c r="D58" s="51">
        <f t="shared" si="13"/>
        <v>58235.632000000005</v>
      </c>
      <c r="E58" s="51">
        <f t="shared" si="13"/>
        <v>60941.712</v>
      </c>
      <c r="F58" s="51">
        <f t="shared" si="13"/>
        <v>63791.311999999998</v>
      </c>
      <c r="G58" s="52">
        <f>G59*2080</f>
        <v>65100.880000000005</v>
      </c>
      <c r="K58" s="58"/>
      <c r="L58" s="58"/>
      <c r="M58" s="58"/>
    </row>
    <row r="59" spans="1:13" s="45" customFormat="1">
      <c r="A59" s="39"/>
      <c r="B59" s="41" t="s">
        <v>58</v>
      </c>
      <c r="C59" s="51">
        <v>26.781500000000001</v>
      </c>
      <c r="D59" s="51">
        <v>27.997900000000001</v>
      </c>
      <c r="E59" s="51">
        <v>29.2989</v>
      </c>
      <c r="F59" s="51">
        <v>30.668900000000001</v>
      </c>
      <c r="G59" s="56">
        <v>31.298500000000001</v>
      </c>
      <c r="K59" s="58"/>
      <c r="L59" s="58"/>
      <c r="M59" s="58"/>
    </row>
    <row r="60" spans="1:13" s="45" customFormat="1">
      <c r="A60" s="49"/>
      <c r="B60" s="41" t="s">
        <v>72</v>
      </c>
      <c r="C60" s="51"/>
      <c r="D60" s="51"/>
      <c r="E60" s="51"/>
      <c r="F60" s="51"/>
      <c r="G60" s="52"/>
      <c r="H60"/>
      <c r="K60" s="58"/>
      <c r="L60" s="58"/>
      <c r="M60" s="58"/>
    </row>
    <row r="61" spans="1:13">
      <c r="H61" s="11"/>
    </row>
  </sheetData>
  <mergeCells count="2">
    <mergeCell ref="A3:H3"/>
    <mergeCell ref="A33:H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AD98F-3B58-49AF-A276-419CA50FE407}">
  <sheetPr>
    <pageSetUpPr fitToPage="1"/>
  </sheetPr>
  <dimension ref="A1:N61"/>
  <sheetViews>
    <sheetView workbookViewId="0">
      <selection sqref="A1:XFD60"/>
    </sheetView>
  </sheetViews>
  <sheetFormatPr defaultRowHeight="15"/>
  <cols>
    <col min="2" max="2" width="27.44140625" bestFit="1" customWidth="1"/>
    <col min="3" max="3" width="14.5546875" bestFit="1" customWidth="1"/>
    <col min="4" max="8" width="11.44140625" bestFit="1" customWidth="1"/>
  </cols>
  <sheetData>
    <row r="1" spans="1:14" s="45" customFormat="1">
      <c r="A1" s="31" t="s">
        <v>0</v>
      </c>
      <c r="B1" s="31"/>
      <c r="C1" s="31"/>
      <c r="D1" s="31"/>
      <c r="E1" s="31"/>
      <c r="F1" s="31"/>
      <c r="G1" s="31"/>
      <c r="H1" s="31"/>
      <c r="L1" s="58"/>
      <c r="M1" s="58"/>
      <c r="N1" s="58"/>
    </row>
    <row r="2" spans="1:14" s="45" customFormat="1">
      <c r="A2" s="32" t="s">
        <v>1</v>
      </c>
      <c r="B2" s="31"/>
      <c r="C2" s="31"/>
      <c r="D2" s="31"/>
      <c r="E2" s="31"/>
      <c r="F2" s="31"/>
      <c r="G2" s="31"/>
      <c r="H2" s="31"/>
      <c r="L2" s="58"/>
      <c r="M2" s="58"/>
      <c r="N2" s="58"/>
    </row>
    <row r="3" spans="1:14" s="45" customFormat="1" ht="15.75" thickBot="1">
      <c r="A3" s="61" t="s">
        <v>73</v>
      </c>
      <c r="B3" s="61"/>
      <c r="C3" s="61"/>
      <c r="D3" s="61"/>
      <c r="E3" s="61"/>
      <c r="F3" s="61"/>
      <c r="G3" s="61"/>
      <c r="H3" s="61"/>
      <c r="L3" s="58"/>
      <c r="M3" s="58"/>
      <c r="N3" s="58"/>
    </row>
    <row r="4" spans="1:14" s="45" customFormat="1">
      <c r="A4" s="33" t="s">
        <v>3</v>
      </c>
      <c r="B4" s="34"/>
      <c r="C4" s="34"/>
      <c r="D4" s="34"/>
      <c r="E4" s="34"/>
      <c r="F4" s="34"/>
      <c r="G4" s="34"/>
      <c r="H4" s="35"/>
      <c r="J4" s="58"/>
      <c r="K4" s="58"/>
      <c r="L4" s="58"/>
    </row>
    <row r="5" spans="1:14" s="45" customFormat="1" ht="15.75" thickBot="1">
      <c r="A5" s="36" t="s">
        <v>4</v>
      </c>
      <c r="B5" s="37" t="s">
        <v>5</v>
      </c>
      <c r="C5" s="37" t="s">
        <v>63</v>
      </c>
      <c r="D5" s="37" t="s">
        <v>64</v>
      </c>
      <c r="E5" s="37" t="s">
        <v>65</v>
      </c>
      <c r="F5" s="37" t="s">
        <v>66</v>
      </c>
      <c r="G5" s="37" t="s">
        <v>67</v>
      </c>
      <c r="H5" s="38"/>
      <c r="J5" s="58"/>
      <c r="K5" s="58"/>
      <c r="L5" s="58"/>
    </row>
    <row r="6" spans="1:14" s="45" customFormat="1">
      <c r="A6" s="39"/>
      <c r="B6" s="39"/>
      <c r="C6" s="39"/>
      <c r="D6" s="39"/>
      <c r="E6" s="39"/>
      <c r="F6" s="39"/>
      <c r="G6" s="39"/>
      <c r="H6" s="39"/>
      <c r="J6" s="58"/>
      <c r="K6" s="58"/>
      <c r="L6" s="58"/>
    </row>
    <row r="7" spans="1:14" s="45" customFormat="1">
      <c r="A7" s="40">
        <v>1</v>
      </c>
      <c r="B7" s="41" t="s">
        <v>18</v>
      </c>
      <c r="C7" s="42">
        <f t="shared" ref="C7:G7" si="0">+C8*2080</f>
        <v>38214.799999999996</v>
      </c>
      <c r="D7" s="42">
        <f t="shared" si="0"/>
        <v>39876.720000000001</v>
      </c>
      <c r="E7" s="42">
        <f t="shared" si="0"/>
        <v>41628.080000000002</v>
      </c>
      <c r="F7" s="42">
        <f t="shared" si="0"/>
        <v>43349.279999999999</v>
      </c>
      <c r="G7" s="42">
        <f t="shared" si="0"/>
        <v>43349.279999999999</v>
      </c>
      <c r="I7" s="58"/>
      <c r="J7" s="58"/>
      <c r="K7" s="58"/>
    </row>
    <row r="8" spans="1:14" s="45" customFormat="1">
      <c r="A8" s="39"/>
      <c r="B8" s="41" t="s">
        <v>19</v>
      </c>
      <c r="C8" s="43">
        <v>18.372499999999999</v>
      </c>
      <c r="D8" s="43">
        <v>19.171500000000002</v>
      </c>
      <c r="E8" s="43">
        <v>20.013500000000001</v>
      </c>
      <c r="F8" s="43">
        <v>20.841000000000001</v>
      </c>
      <c r="G8" s="43">
        <v>20.841000000000001</v>
      </c>
      <c r="J8" s="58"/>
      <c r="K8" s="58"/>
      <c r="L8" s="58"/>
    </row>
    <row r="9" spans="1:14" s="45" customFormat="1">
      <c r="A9" s="39"/>
      <c r="B9" s="41" t="s">
        <v>68</v>
      </c>
      <c r="C9" s="39"/>
      <c r="D9" s="39"/>
      <c r="E9" s="39"/>
      <c r="F9" s="39"/>
      <c r="G9" s="39"/>
      <c r="J9" s="58"/>
      <c r="K9" s="58"/>
      <c r="L9" s="58"/>
    </row>
    <row r="10" spans="1:14" s="45" customFormat="1">
      <c r="A10" s="39"/>
      <c r="B10" s="41" t="s">
        <v>69</v>
      </c>
      <c r="C10" s="39"/>
      <c r="D10" s="39"/>
      <c r="E10" s="39"/>
      <c r="F10" s="39"/>
      <c r="G10" s="39"/>
      <c r="J10" s="58"/>
      <c r="K10" s="58"/>
      <c r="L10" s="58"/>
    </row>
    <row r="11" spans="1:14" s="45" customFormat="1">
      <c r="A11" s="39"/>
      <c r="C11" s="46"/>
      <c r="D11" s="46"/>
      <c r="E11" s="39"/>
      <c r="F11" s="39"/>
      <c r="G11" s="39"/>
      <c r="J11" s="58"/>
      <c r="K11" s="58"/>
      <c r="L11" s="58"/>
    </row>
    <row r="12" spans="1:14" s="45" customFormat="1">
      <c r="A12" s="40">
        <v>2</v>
      </c>
      <c r="B12" s="41" t="s">
        <v>24</v>
      </c>
      <c r="C12" s="42">
        <f t="shared" ref="C12:F12" si="1">+C13*2080</f>
        <v>41093.519999999997</v>
      </c>
      <c r="D12" s="42">
        <f t="shared" si="1"/>
        <v>42932.447999999997</v>
      </c>
      <c r="E12" s="42">
        <f t="shared" si="1"/>
        <v>44831.695999999996</v>
      </c>
      <c r="F12" s="42">
        <f t="shared" si="1"/>
        <v>46879.040000000001</v>
      </c>
      <c r="G12" s="47">
        <f>G13*2080</f>
        <v>46967.648000000001</v>
      </c>
      <c r="J12" s="58"/>
      <c r="K12" s="58"/>
      <c r="L12" s="58"/>
    </row>
    <row r="13" spans="1:14" s="45" customFormat="1">
      <c r="A13" s="39"/>
      <c r="B13" s="41" t="s">
        <v>25</v>
      </c>
      <c r="C13" s="43">
        <v>19.756499999999999</v>
      </c>
      <c r="D13" s="43">
        <v>20.640599999999999</v>
      </c>
      <c r="E13" s="43">
        <v>21.553699999999999</v>
      </c>
      <c r="F13" s="43">
        <v>22.538</v>
      </c>
      <c r="G13" s="43">
        <v>22.5806</v>
      </c>
      <c r="J13" s="58"/>
      <c r="K13" s="58"/>
      <c r="L13" s="58"/>
    </row>
    <row r="14" spans="1:14" s="45" customFormat="1">
      <c r="A14" s="39"/>
      <c r="B14" s="41" t="s">
        <v>26</v>
      </c>
      <c r="C14" s="39"/>
      <c r="D14" s="39"/>
      <c r="E14" s="39"/>
      <c r="F14" s="39"/>
      <c r="G14" s="39"/>
      <c r="J14" s="58"/>
      <c r="K14" s="58"/>
      <c r="L14" s="58"/>
    </row>
    <row r="15" spans="1:14" s="45" customFormat="1">
      <c r="A15" s="39"/>
      <c r="B15" s="41" t="s">
        <v>27</v>
      </c>
      <c r="C15" s="39"/>
      <c r="D15" s="39"/>
      <c r="E15" s="39"/>
      <c r="F15" s="39"/>
      <c r="G15" s="39"/>
      <c r="J15" s="58"/>
      <c r="K15" s="58"/>
      <c r="L15" s="58"/>
    </row>
    <row r="16" spans="1:14" s="45" customFormat="1">
      <c r="A16" s="39"/>
      <c r="C16" s="39"/>
      <c r="D16" s="39"/>
      <c r="E16" s="39"/>
      <c r="F16" s="39"/>
      <c r="G16" s="39"/>
      <c r="J16" s="58"/>
      <c r="K16" s="58"/>
      <c r="L16" s="58"/>
    </row>
    <row r="17" spans="1:14" s="45" customFormat="1">
      <c r="A17" s="40">
        <v>3</v>
      </c>
      <c r="B17" s="41" t="s">
        <v>31</v>
      </c>
      <c r="C17" s="42">
        <f t="shared" ref="C17:E17" si="2">+C18*2080</f>
        <v>42696.160000000003</v>
      </c>
      <c r="D17" s="42">
        <f t="shared" si="2"/>
        <v>44594.367999999995</v>
      </c>
      <c r="E17" s="42">
        <f t="shared" si="2"/>
        <v>46612.175999999999</v>
      </c>
      <c r="F17" s="42">
        <f>F18*2080</f>
        <v>48688.848000000005</v>
      </c>
      <c r="G17" s="47">
        <f>G18*2080</f>
        <v>48895.807999999997</v>
      </c>
      <c r="J17" s="58"/>
      <c r="K17" s="58"/>
      <c r="L17" s="58"/>
    </row>
    <row r="18" spans="1:14" s="45" customFormat="1">
      <c r="A18" s="39"/>
      <c r="B18" s="39"/>
      <c r="C18" s="43">
        <v>20.527000000000001</v>
      </c>
      <c r="D18" s="43">
        <v>21.439599999999999</v>
      </c>
      <c r="E18" s="43">
        <v>22.409700000000001</v>
      </c>
      <c r="F18" s="43">
        <v>23.408100000000001</v>
      </c>
      <c r="G18" s="47">
        <v>23.5076</v>
      </c>
      <c r="J18" s="58"/>
      <c r="K18" s="58"/>
      <c r="L18" s="58"/>
    </row>
    <row r="19" spans="1:14" s="45" customFormat="1">
      <c r="A19" s="39"/>
      <c r="B19" s="39"/>
      <c r="C19" s="39"/>
      <c r="D19" s="39"/>
      <c r="E19" s="39"/>
      <c r="F19" s="39"/>
      <c r="G19" s="44"/>
      <c r="J19" s="58"/>
      <c r="K19" s="58"/>
      <c r="L19" s="58"/>
    </row>
    <row r="20" spans="1:14" s="45" customFormat="1">
      <c r="A20" s="40">
        <v>4</v>
      </c>
      <c r="B20" s="41" t="s">
        <v>32</v>
      </c>
      <c r="C20" s="42">
        <f t="shared" ref="C20:F20" si="3">+C21*2080</f>
        <v>44386.784</v>
      </c>
      <c r="D20" s="42">
        <f t="shared" si="3"/>
        <v>46374.64</v>
      </c>
      <c r="E20" s="42">
        <f t="shared" si="3"/>
        <v>48452.351999999999</v>
      </c>
      <c r="F20" s="42">
        <f t="shared" si="3"/>
        <v>50646.336000000003</v>
      </c>
      <c r="G20" s="47">
        <f>G21*2080</f>
        <v>50973.311999999998</v>
      </c>
      <c r="J20" s="58"/>
      <c r="K20" s="58"/>
      <c r="L20" s="58"/>
    </row>
    <row r="21" spans="1:14" s="45" customFormat="1">
      <c r="A21" s="39"/>
      <c r="B21" s="41" t="s">
        <v>33</v>
      </c>
      <c r="C21" s="43">
        <v>21.3398</v>
      </c>
      <c r="D21" s="43">
        <v>22.295500000000001</v>
      </c>
      <c r="E21" s="43">
        <v>23.2944</v>
      </c>
      <c r="F21" s="43">
        <v>24.3492</v>
      </c>
      <c r="G21" s="47">
        <v>24.506399999999999</v>
      </c>
      <c r="J21" s="58"/>
      <c r="K21" s="58"/>
      <c r="L21" s="58"/>
    </row>
    <row r="22" spans="1:14" s="45" customFormat="1">
      <c r="A22" s="39"/>
      <c r="B22" s="41" t="s">
        <v>34</v>
      </c>
      <c r="C22" s="39"/>
      <c r="D22" s="39"/>
      <c r="E22" s="39"/>
      <c r="F22" s="39"/>
      <c r="G22" s="44"/>
      <c r="J22" s="58"/>
      <c r="K22" s="58"/>
      <c r="L22" s="58"/>
    </row>
    <row r="23" spans="1:14" s="45" customFormat="1">
      <c r="A23" s="39"/>
      <c r="B23" s="41" t="s">
        <v>36</v>
      </c>
      <c r="C23" s="39"/>
      <c r="D23" s="39"/>
      <c r="E23" s="39"/>
      <c r="F23" s="39"/>
      <c r="G23" s="39"/>
      <c r="J23" s="58"/>
      <c r="K23" s="58"/>
      <c r="L23" s="58"/>
    </row>
    <row r="24" spans="1:14" s="45" customFormat="1">
      <c r="A24" s="49"/>
      <c r="B24" s="41"/>
      <c r="C24" s="39"/>
      <c r="D24" s="39"/>
      <c r="E24" s="39"/>
      <c r="F24" s="39"/>
      <c r="G24" s="39"/>
      <c r="J24" s="58"/>
      <c r="K24" s="58"/>
      <c r="L24" s="58"/>
    </row>
    <row r="25" spans="1:14" s="45" customFormat="1">
      <c r="A25" s="49">
        <v>5</v>
      </c>
      <c r="B25" s="41" t="s">
        <v>38</v>
      </c>
      <c r="C25" s="47">
        <f t="shared" ref="C25:G25" si="4">C26*2080</f>
        <v>44591.664000000004</v>
      </c>
      <c r="D25" s="47">
        <f t="shared" si="4"/>
        <v>46567.872000000003</v>
      </c>
      <c r="E25" s="47">
        <f t="shared" si="4"/>
        <v>48697.583999999995</v>
      </c>
      <c r="F25" s="47">
        <f t="shared" si="4"/>
        <v>50887.199999999997</v>
      </c>
      <c r="G25" s="47">
        <f t="shared" si="4"/>
        <v>53199.119999999995</v>
      </c>
      <c r="J25" s="58"/>
      <c r="K25" s="58"/>
      <c r="L25" s="58"/>
    </row>
    <row r="26" spans="1:14" s="45" customFormat="1">
      <c r="A26" s="49"/>
      <c r="B26" s="41"/>
      <c r="C26" s="47">
        <v>21.438300000000002</v>
      </c>
      <c r="D26" s="47">
        <v>22.388400000000001</v>
      </c>
      <c r="E26" s="47">
        <v>23.412299999999998</v>
      </c>
      <c r="F26" s="47">
        <v>24.465</v>
      </c>
      <c r="G26" s="47">
        <v>25.576499999999999</v>
      </c>
      <c r="J26" s="58"/>
      <c r="K26" s="58"/>
      <c r="L26" s="58"/>
    </row>
    <row r="27" spans="1:14" s="45" customFormat="1">
      <c r="A27" s="39"/>
      <c r="B27" s="41"/>
      <c r="C27" s="39"/>
      <c r="D27" s="39"/>
      <c r="E27" s="39"/>
      <c r="F27" s="39"/>
      <c r="G27" s="39"/>
      <c r="J27" s="58"/>
      <c r="K27" s="58"/>
      <c r="L27" s="58"/>
    </row>
    <row r="28" spans="1:14" s="45" customFormat="1">
      <c r="A28" s="40">
        <v>6</v>
      </c>
      <c r="B28" s="41" t="s">
        <v>39</v>
      </c>
      <c r="C28" s="42">
        <f t="shared" ref="C28:F28" si="5">+C29*2080</f>
        <v>48065.68</v>
      </c>
      <c r="D28" s="42">
        <f t="shared" si="5"/>
        <v>50260.912000000004</v>
      </c>
      <c r="E28" s="42">
        <f t="shared" si="5"/>
        <v>52457.184000000001</v>
      </c>
      <c r="F28" s="42">
        <f t="shared" si="5"/>
        <v>54859.584000000003</v>
      </c>
      <c r="G28" s="50">
        <f>G29*2080</f>
        <v>55542.239999999998</v>
      </c>
      <c r="J28" s="58"/>
      <c r="K28" s="58"/>
      <c r="L28" s="58"/>
    </row>
    <row r="29" spans="1:14" s="45" customFormat="1">
      <c r="A29" s="39"/>
      <c r="B29" s="39"/>
      <c r="C29" s="43">
        <v>23.108499999999999</v>
      </c>
      <c r="D29" s="43">
        <v>24.163900000000002</v>
      </c>
      <c r="E29" s="43">
        <v>25.219799999999999</v>
      </c>
      <c r="F29" s="43">
        <v>26.3748</v>
      </c>
      <c r="G29" s="50">
        <v>26.702999999999999</v>
      </c>
      <c r="J29" s="58"/>
      <c r="K29" s="58"/>
      <c r="L29" s="58"/>
    </row>
    <row r="30" spans="1:14" s="45" customFormat="1">
      <c r="A30" s="39"/>
      <c r="B30" s="39"/>
      <c r="C30" s="44"/>
      <c r="D30" s="44"/>
      <c r="E30" s="44"/>
      <c r="F30" s="44"/>
      <c r="G30" s="44"/>
      <c r="H30" s="44"/>
      <c r="K30" s="58"/>
      <c r="L30" s="58"/>
      <c r="M30" s="58"/>
    </row>
    <row r="31" spans="1:14" s="45" customFormat="1">
      <c r="A31" s="31" t="s">
        <v>0</v>
      </c>
      <c r="B31" s="31"/>
      <c r="C31" s="31"/>
      <c r="D31" s="31"/>
      <c r="E31" s="31"/>
      <c r="F31" s="31"/>
      <c r="G31" s="31"/>
      <c r="H31" s="31"/>
      <c r="L31" s="58"/>
      <c r="M31" s="58"/>
      <c r="N31" s="58"/>
    </row>
    <row r="32" spans="1:14" s="45" customFormat="1">
      <c r="A32" s="32" t="s">
        <v>1</v>
      </c>
      <c r="B32" s="31"/>
      <c r="C32" s="31"/>
      <c r="D32" s="31"/>
      <c r="E32" s="31"/>
      <c r="F32" s="31"/>
      <c r="G32" s="31"/>
      <c r="H32" s="31"/>
      <c r="L32" s="58"/>
      <c r="M32" s="58"/>
      <c r="N32" s="58"/>
    </row>
    <row r="33" spans="1:14" s="45" customFormat="1" ht="15.75" thickBot="1">
      <c r="A33" s="61" t="s">
        <v>73</v>
      </c>
      <c r="B33" s="61"/>
      <c r="C33" s="61"/>
      <c r="D33" s="61"/>
      <c r="E33" s="61"/>
      <c r="F33" s="61"/>
      <c r="G33" s="61"/>
      <c r="H33" s="61"/>
      <c r="I33" s="59"/>
      <c r="L33" s="58"/>
      <c r="M33" s="58"/>
      <c r="N33" s="58"/>
    </row>
    <row r="34" spans="1:14" s="45" customFormat="1">
      <c r="A34" s="33" t="s">
        <v>3</v>
      </c>
      <c r="B34" s="34"/>
      <c r="C34" s="34"/>
      <c r="D34" s="34"/>
      <c r="E34" s="34"/>
      <c r="F34" s="34"/>
      <c r="G34" s="34"/>
      <c r="H34" s="35"/>
      <c r="K34" s="58"/>
      <c r="L34" s="58"/>
      <c r="M34" s="58"/>
    </row>
    <row r="35" spans="1:14" s="45" customFormat="1" ht="15.75" thickBot="1">
      <c r="A35" s="36" t="s">
        <v>4</v>
      </c>
      <c r="B35" s="37" t="s">
        <v>5</v>
      </c>
      <c r="C35" s="37" t="s">
        <v>63</v>
      </c>
      <c r="D35" s="37" t="s">
        <v>64</v>
      </c>
      <c r="E35" s="37" t="s">
        <v>65</v>
      </c>
      <c r="F35" s="37" t="s">
        <v>66</v>
      </c>
      <c r="G35" s="37" t="s">
        <v>67</v>
      </c>
      <c r="H35" s="38"/>
      <c r="K35" s="58"/>
      <c r="L35" s="58"/>
      <c r="M35" s="58"/>
    </row>
    <row r="36" spans="1:14" s="45" customFormat="1" ht="35.25" customHeight="1">
      <c r="A36" s="49">
        <v>7</v>
      </c>
      <c r="B36" s="41" t="s">
        <v>60</v>
      </c>
      <c r="C36" s="51">
        <f t="shared" ref="C36:F36" si="6">+C37*2080</f>
        <v>48688.848000000005</v>
      </c>
      <c r="D36" s="51">
        <f t="shared" si="6"/>
        <v>50914.032000000007</v>
      </c>
      <c r="E36" s="51">
        <f t="shared" si="6"/>
        <v>53228.24</v>
      </c>
      <c r="F36" s="51">
        <f t="shared" si="6"/>
        <v>55662.256000000001</v>
      </c>
      <c r="G36" s="52">
        <f>G37*2080</f>
        <v>56403.775999999998</v>
      </c>
      <c r="J36" s="58"/>
      <c r="K36" s="58"/>
      <c r="L36" s="58"/>
    </row>
    <row r="37" spans="1:14" s="45" customFormat="1">
      <c r="A37" s="39"/>
      <c r="B37" s="41" t="s">
        <v>61</v>
      </c>
      <c r="C37" s="51">
        <v>23.408100000000001</v>
      </c>
      <c r="D37" s="51">
        <v>24.477900000000002</v>
      </c>
      <c r="E37" s="51">
        <v>25.590499999999999</v>
      </c>
      <c r="F37" s="51">
        <v>26.7607</v>
      </c>
      <c r="G37" s="51">
        <v>27.1172</v>
      </c>
      <c r="J37" s="58"/>
      <c r="K37" s="58"/>
      <c r="L37" s="58"/>
    </row>
    <row r="38" spans="1:14" s="45" customFormat="1">
      <c r="A38" s="39"/>
      <c r="B38" s="41" t="s">
        <v>77</v>
      </c>
      <c r="C38" s="51"/>
      <c r="D38" s="51"/>
      <c r="E38" s="51"/>
      <c r="F38" s="51"/>
      <c r="G38" s="51"/>
      <c r="J38" s="58"/>
      <c r="K38" s="58"/>
      <c r="L38" s="58"/>
    </row>
    <row r="39" spans="1:14" s="45" customFormat="1">
      <c r="A39" s="39"/>
      <c r="B39" s="41"/>
      <c r="C39" s="51"/>
      <c r="D39" s="51"/>
      <c r="E39" s="51"/>
      <c r="F39" s="51"/>
      <c r="G39" s="51"/>
      <c r="J39" s="58"/>
      <c r="K39" s="58"/>
      <c r="L39" s="58"/>
    </row>
    <row r="40" spans="1:14" s="45" customFormat="1">
      <c r="A40" s="49">
        <v>8</v>
      </c>
      <c r="B40" s="41" t="s">
        <v>43</v>
      </c>
      <c r="C40" s="51">
        <f t="shared" ref="C40:F40" si="7">+C41*2080</f>
        <v>50022.96</v>
      </c>
      <c r="D40" s="51">
        <f t="shared" si="7"/>
        <v>52308.047999999995</v>
      </c>
      <c r="E40" s="51">
        <f t="shared" si="7"/>
        <v>54681.536</v>
      </c>
      <c r="F40" s="51">
        <f t="shared" si="7"/>
        <v>57203.951999999997</v>
      </c>
      <c r="G40" s="52">
        <f>G41*2080</f>
        <v>58006.415999999997</v>
      </c>
      <c r="J40" s="58"/>
      <c r="K40" s="58"/>
      <c r="L40" s="58"/>
    </row>
    <row r="41" spans="1:14" s="45" customFormat="1">
      <c r="A41" s="41"/>
      <c r="B41" s="41"/>
      <c r="C41" s="51">
        <v>24.049499999999998</v>
      </c>
      <c r="D41" s="51">
        <v>25.148099999999999</v>
      </c>
      <c r="E41" s="51">
        <v>26.289200000000001</v>
      </c>
      <c r="F41" s="51">
        <v>27.501899999999999</v>
      </c>
      <c r="G41" s="51">
        <v>27.887699999999999</v>
      </c>
      <c r="J41" s="58"/>
      <c r="K41" s="58"/>
      <c r="L41" s="58"/>
    </row>
    <row r="42" spans="1:14" s="45" customFormat="1">
      <c r="C42" s="53"/>
      <c r="D42" s="53"/>
      <c r="E42" s="53"/>
      <c r="F42" s="53"/>
      <c r="G42" s="53"/>
      <c r="J42" s="58"/>
      <c r="K42" s="58"/>
      <c r="L42" s="58"/>
    </row>
    <row r="43" spans="1:14" s="45" customFormat="1">
      <c r="A43" s="40">
        <v>9</v>
      </c>
      <c r="B43" s="41" t="s">
        <v>46</v>
      </c>
      <c r="C43" s="42">
        <f>C44*2080</f>
        <v>48598.784</v>
      </c>
      <c r="D43" s="51">
        <f t="shared" ref="D43:G43" si="8">+D44*2080</f>
        <v>50914.032000000007</v>
      </c>
      <c r="E43" s="51">
        <f t="shared" si="8"/>
        <v>53406.288</v>
      </c>
      <c r="F43" s="51">
        <f t="shared" si="8"/>
        <v>55958.864000000001</v>
      </c>
      <c r="G43" s="51">
        <f t="shared" si="8"/>
        <v>58716.735999999997</v>
      </c>
      <c r="H43" s="51"/>
      <c r="J43" s="58"/>
      <c r="K43" s="58"/>
    </row>
    <row r="44" spans="1:14" s="45" customFormat="1">
      <c r="A44" s="41"/>
      <c r="B44" s="39"/>
      <c r="C44" s="47">
        <v>23.364799999999999</v>
      </c>
      <c r="D44" s="51">
        <v>24.477900000000002</v>
      </c>
      <c r="E44" s="51">
        <v>25.676100000000002</v>
      </c>
      <c r="F44" s="51">
        <v>26.903300000000002</v>
      </c>
      <c r="G44" s="51">
        <v>28.229199999999999</v>
      </c>
      <c r="H44" s="51"/>
      <c r="J44" s="58"/>
      <c r="K44" s="58"/>
    </row>
    <row r="45" spans="1:14" s="45" customFormat="1">
      <c r="C45" s="41"/>
      <c r="D45" s="54"/>
      <c r="E45" s="54"/>
      <c r="F45" s="54"/>
      <c r="G45" s="54"/>
      <c r="H45" s="53"/>
      <c r="J45" s="58"/>
      <c r="K45" s="58"/>
    </row>
    <row r="46" spans="1:14" s="45" customFormat="1">
      <c r="A46" s="40">
        <v>10</v>
      </c>
      <c r="B46" s="41" t="s">
        <v>47</v>
      </c>
      <c r="C46" s="42">
        <f>C47*2080</f>
        <v>48837.567999999999</v>
      </c>
      <c r="D46" s="51">
        <f t="shared" ref="D46:G46" si="9">+D47*2080</f>
        <v>52250.64</v>
      </c>
      <c r="E46" s="51">
        <f t="shared" si="9"/>
        <v>54711.695999999996</v>
      </c>
      <c r="F46" s="51">
        <f t="shared" si="9"/>
        <v>57263.023999999998</v>
      </c>
      <c r="G46" s="51">
        <f t="shared" si="9"/>
        <v>60023.183999999994</v>
      </c>
      <c r="H46" s="51"/>
      <c r="J46" s="58"/>
      <c r="K46" s="58"/>
    </row>
    <row r="47" spans="1:14" s="45" customFormat="1">
      <c r="A47" s="39"/>
      <c r="B47" s="39"/>
      <c r="C47" s="47">
        <v>23.479600000000001</v>
      </c>
      <c r="D47" s="51">
        <v>25.1205</v>
      </c>
      <c r="E47" s="51">
        <v>26.303699999999999</v>
      </c>
      <c r="F47" s="51">
        <v>27.5303</v>
      </c>
      <c r="G47" s="51">
        <v>28.857299999999999</v>
      </c>
      <c r="H47" s="51"/>
      <c r="J47" s="58"/>
      <c r="K47" s="58"/>
    </row>
    <row r="48" spans="1:14" s="45" customFormat="1">
      <c r="C48" s="51"/>
      <c r="D48" s="51"/>
      <c r="E48" s="54"/>
      <c r="F48" s="54"/>
      <c r="G48" s="54"/>
      <c r="J48" s="58"/>
      <c r="K48" s="58"/>
      <c r="L48" s="58"/>
    </row>
    <row r="49" spans="1:14" s="45" customFormat="1">
      <c r="A49" s="40">
        <v>11</v>
      </c>
      <c r="B49" s="41" t="s">
        <v>70</v>
      </c>
      <c r="C49" s="51">
        <f t="shared" ref="C49:F49" si="10">+C50*2080</f>
        <v>52160.160000000003</v>
      </c>
      <c r="D49" s="51">
        <f t="shared" si="10"/>
        <v>54534.895999999993</v>
      </c>
      <c r="E49" s="51">
        <f t="shared" si="10"/>
        <v>57026.943999999996</v>
      </c>
      <c r="F49" s="51">
        <f t="shared" si="10"/>
        <v>59637.760000000002</v>
      </c>
      <c r="G49" s="52">
        <f>G50*2080</f>
        <v>60617.440000000002</v>
      </c>
      <c r="J49" s="58"/>
      <c r="K49" s="58"/>
      <c r="L49" s="58"/>
    </row>
    <row r="50" spans="1:14" s="45" customFormat="1">
      <c r="B50" s="41" t="s">
        <v>49</v>
      </c>
      <c r="C50" s="51">
        <v>25.077000000000002</v>
      </c>
      <c r="D50" s="51">
        <v>26.218699999999998</v>
      </c>
      <c r="E50" s="51">
        <v>27.416799999999999</v>
      </c>
      <c r="F50" s="51">
        <v>28.672000000000001</v>
      </c>
      <c r="G50" s="51">
        <v>29.143000000000001</v>
      </c>
      <c r="J50" s="58"/>
      <c r="K50" s="58"/>
      <c r="L50" s="58"/>
    </row>
    <row r="51" spans="1:14" s="45" customFormat="1">
      <c r="A51" s="39"/>
      <c r="C51" s="54"/>
      <c r="D51" s="54"/>
      <c r="E51" s="54"/>
      <c r="F51" s="54"/>
      <c r="G51" s="54"/>
      <c r="J51" s="58"/>
      <c r="K51" s="58"/>
      <c r="L51" s="58"/>
    </row>
    <row r="52" spans="1:14" s="45" customFormat="1">
      <c r="A52" s="40">
        <v>12</v>
      </c>
      <c r="B52" s="41" t="s">
        <v>50</v>
      </c>
      <c r="C52" s="51">
        <f t="shared" ref="C52:F52" si="11">+C53*2080</f>
        <v>52694.304000000004</v>
      </c>
      <c r="D52" s="51">
        <f t="shared" si="11"/>
        <v>54799.887999999999</v>
      </c>
      <c r="E52" s="51">
        <f t="shared" si="11"/>
        <v>57026.943999999996</v>
      </c>
      <c r="F52" s="51">
        <f t="shared" si="11"/>
        <v>59221.968000000001</v>
      </c>
      <c r="G52" s="52">
        <f>G53*2080</f>
        <v>61417.407999999996</v>
      </c>
      <c r="J52" s="58"/>
      <c r="K52" s="58"/>
      <c r="L52" s="58"/>
    </row>
    <row r="53" spans="1:14" s="45" customFormat="1">
      <c r="A53" s="55"/>
      <c r="B53" s="39"/>
      <c r="C53" s="51">
        <v>25.3338</v>
      </c>
      <c r="D53" s="51">
        <v>26.3461</v>
      </c>
      <c r="E53" s="51">
        <v>27.416799999999999</v>
      </c>
      <c r="F53" s="51">
        <v>28.472100000000001</v>
      </c>
      <c r="G53" s="51">
        <v>29.5276</v>
      </c>
      <c r="J53" s="58"/>
      <c r="K53" s="58"/>
      <c r="L53" s="58"/>
    </row>
    <row r="54" spans="1:14" s="45" customFormat="1">
      <c r="A54" s="40">
        <v>13</v>
      </c>
      <c r="B54" s="41" t="s">
        <v>51</v>
      </c>
      <c r="C54" s="54"/>
      <c r="D54" s="54"/>
      <c r="E54" s="54"/>
      <c r="F54" s="54"/>
      <c r="G54" s="54"/>
      <c r="J54" s="58"/>
      <c r="K54" s="58"/>
      <c r="L54" s="58"/>
    </row>
    <row r="55" spans="1:14" s="45" customFormat="1">
      <c r="B55" s="41" t="s">
        <v>52</v>
      </c>
      <c r="C55" s="51">
        <f t="shared" ref="C55:F55" si="12">+C56*2080</f>
        <v>54088.528000000006</v>
      </c>
      <c r="D55" s="51">
        <f t="shared" si="12"/>
        <v>56077.84</v>
      </c>
      <c r="E55" s="51">
        <f t="shared" si="12"/>
        <v>58124.144</v>
      </c>
      <c r="F55" s="51">
        <f t="shared" si="12"/>
        <v>60201.232000000004</v>
      </c>
      <c r="G55" s="52">
        <f>G56*2080</f>
        <v>62218.208000000006</v>
      </c>
      <c r="J55" s="58"/>
      <c r="K55" s="58"/>
      <c r="L55" s="58"/>
    </row>
    <row r="56" spans="1:14" s="45" customFormat="1">
      <c r="A56" s="55"/>
      <c r="B56" s="41" t="s">
        <v>53</v>
      </c>
      <c r="C56" s="51">
        <v>26.004100000000001</v>
      </c>
      <c r="D56" s="51">
        <v>26.9605</v>
      </c>
      <c r="E56" s="51">
        <v>27.944299999999998</v>
      </c>
      <c r="F56" s="51">
        <v>28.942900000000002</v>
      </c>
      <c r="G56" s="51">
        <v>29.912600000000001</v>
      </c>
      <c r="J56" s="58"/>
      <c r="K56" s="58"/>
      <c r="L56" s="58"/>
    </row>
    <row r="57" spans="1:14" s="45" customFormat="1">
      <c r="A57" s="55"/>
      <c r="B57" s="39"/>
      <c r="C57" s="51"/>
      <c r="D57" s="51"/>
      <c r="E57" s="51"/>
      <c r="F57" s="51"/>
      <c r="G57" s="51"/>
      <c r="J57" s="58"/>
      <c r="K57" s="58"/>
      <c r="L57" s="58"/>
    </row>
    <row r="58" spans="1:14" s="45" customFormat="1">
      <c r="A58" s="40">
        <v>14</v>
      </c>
      <c r="B58" s="41" t="s">
        <v>57</v>
      </c>
      <c r="C58" s="51">
        <f t="shared" ref="C58:F58" si="13">+C59*2080</f>
        <v>56819.567999999999</v>
      </c>
      <c r="D58" s="51">
        <f t="shared" si="13"/>
        <v>59400.432000000001</v>
      </c>
      <c r="E58" s="51">
        <f t="shared" si="13"/>
        <v>62160.591999999997</v>
      </c>
      <c r="F58" s="51">
        <f t="shared" si="13"/>
        <v>65067.184000000001</v>
      </c>
      <c r="G58" s="52">
        <f>G59*2080</f>
        <v>66402.959999999992</v>
      </c>
      <c r="J58" s="58"/>
      <c r="K58" s="58"/>
      <c r="L58" s="58"/>
    </row>
    <row r="59" spans="1:14" s="45" customFormat="1">
      <c r="A59" s="39"/>
      <c r="B59" s="41" t="s">
        <v>58</v>
      </c>
      <c r="C59" s="51">
        <v>27.3171</v>
      </c>
      <c r="D59" s="51">
        <v>28.5579</v>
      </c>
      <c r="E59" s="51">
        <v>29.884899999999998</v>
      </c>
      <c r="F59" s="51">
        <v>31.282299999999999</v>
      </c>
      <c r="G59" s="56">
        <v>31.924499999999998</v>
      </c>
      <c r="J59" s="58"/>
      <c r="K59" s="58"/>
      <c r="L59" s="58"/>
    </row>
    <row r="60" spans="1:14">
      <c r="A60" s="11"/>
      <c r="B60" s="41" t="s">
        <v>72</v>
      </c>
      <c r="C60" s="11"/>
      <c r="D60" s="11"/>
      <c r="E60" s="11"/>
      <c r="F60" s="11"/>
      <c r="G60" s="11"/>
      <c r="J60" s="19"/>
      <c r="K60" s="19"/>
      <c r="L60" s="19"/>
    </row>
    <row r="61" spans="1:14">
      <c r="A61" s="11"/>
      <c r="B61" s="41"/>
      <c r="C61" s="11"/>
      <c r="D61" s="11"/>
      <c r="E61" s="11"/>
      <c r="F61" s="11"/>
      <c r="G61" s="11"/>
      <c r="H61" s="11"/>
      <c r="L61" s="19"/>
      <c r="M61" s="19"/>
      <c r="N61" s="19"/>
    </row>
  </sheetData>
  <mergeCells count="2">
    <mergeCell ref="A3:H3"/>
    <mergeCell ref="A33:H33"/>
  </mergeCells>
  <pageMargins left="0.7" right="0.7" top="0.75" bottom="0.75" header="0.3" footer="0.3"/>
  <pageSetup scale="94" fitToHeight="0" orientation="landscape" r:id="rId1"/>
  <rowBreaks count="1" manualBreakCount="1">
    <brk id="2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5565B-AB7C-46CC-86EE-724D5E321B98}">
  <dimension ref="A1:N60"/>
  <sheetViews>
    <sheetView workbookViewId="0">
      <selection activeCell="A33" sqref="A33:H33"/>
    </sheetView>
  </sheetViews>
  <sheetFormatPr defaultRowHeight="15"/>
  <cols>
    <col min="1" max="1" width="7.88671875" bestFit="1" customWidth="1"/>
    <col min="2" max="2" width="27.44140625" bestFit="1" customWidth="1"/>
    <col min="3" max="7" width="11.44140625" bestFit="1" customWidth="1"/>
  </cols>
  <sheetData>
    <row r="1" spans="1:14" s="45" customFormat="1">
      <c r="A1" s="31" t="s">
        <v>0</v>
      </c>
      <c r="B1" s="31"/>
      <c r="C1" s="31"/>
      <c r="D1" s="31"/>
      <c r="E1" s="31"/>
      <c r="F1" s="31"/>
      <c r="G1" s="31"/>
      <c r="H1" s="31"/>
      <c r="J1" s="60"/>
      <c r="L1" s="58"/>
      <c r="M1" s="58"/>
      <c r="N1" s="58"/>
    </row>
    <row r="2" spans="1:14" s="45" customFormat="1">
      <c r="A2" s="32" t="s">
        <v>1</v>
      </c>
      <c r="B2" s="31"/>
      <c r="C2" s="31"/>
      <c r="D2" s="31"/>
      <c r="E2" s="31"/>
      <c r="F2" s="31"/>
      <c r="G2" s="31"/>
      <c r="H2" s="31"/>
      <c r="L2" s="58"/>
      <c r="M2" s="58"/>
      <c r="N2" s="58"/>
    </row>
    <row r="3" spans="1:14" s="45" customFormat="1" ht="15.75" thickBot="1">
      <c r="A3" s="61" t="s">
        <v>80</v>
      </c>
      <c r="B3" s="61"/>
      <c r="C3" s="61"/>
      <c r="D3" s="61"/>
      <c r="E3" s="61"/>
      <c r="F3" s="61"/>
      <c r="G3" s="61"/>
      <c r="H3" s="61"/>
      <c r="L3" s="58"/>
      <c r="M3" s="58"/>
      <c r="N3" s="58"/>
    </row>
    <row r="4" spans="1:14" s="45" customFormat="1">
      <c r="A4" s="33" t="s">
        <v>3</v>
      </c>
      <c r="B4" s="34"/>
      <c r="C4" s="34"/>
      <c r="D4" s="34"/>
      <c r="E4" s="34"/>
      <c r="F4" s="34"/>
      <c r="G4" s="34"/>
      <c r="H4" s="35"/>
      <c r="J4" s="58"/>
      <c r="K4" s="58"/>
      <c r="L4" s="58"/>
    </row>
    <row r="5" spans="1:14" s="45" customFormat="1" ht="15.75" thickBot="1">
      <c r="A5" s="36" t="s">
        <v>4</v>
      </c>
      <c r="B5" s="37" t="s">
        <v>5</v>
      </c>
      <c r="C5" s="37" t="s">
        <v>63</v>
      </c>
      <c r="D5" s="37" t="s">
        <v>64</v>
      </c>
      <c r="E5" s="37" t="s">
        <v>65</v>
      </c>
      <c r="F5" s="37" t="s">
        <v>66</v>
      </c>
      <c r="G5" s="37" t="s">
        <v>67</v>
      </c>
      <c r="H5" s="38"/>
      <c r="J5" s="58"/>
      <c r="K5" s="58"/>
      <c r="L5" s="58"/>
    </row>
    <row r="6" spans="1:14" s="45" customFormat="1">
      <c r="A6" s="39"/>
      <c r="B6" s="39"/>
      <c r="C6" s="39"/>
      <c r="D6" s="39"/>
      <c r="E6" s="39"/>
      <c r="F6" s="39"/>
      <c r="G6" s="39"/>
      <c r="H6" s="39"/>
      <c r="J6" s="58"/>
      <c r="K6" s="58"/>
      <c r="L6" s="58"/>
    </row>
    <row r="7" spans="1:14" s="45" customFormat="1">
      <c r="A7" s="40">
        <v>1</v>
      </c>
      <c r="B7" s="41" t="s">
        <v>18</v>
      </c>
      <c r="C7" s="42">
        <f t="shared" ref="C7:G7" si="0">+C8*2080</f>
        <v>39361.296000000002</v>
      </c>
      <c r="D7" s="42">
        <f t="shared" si="0"/>
        <v>41072.928</v>
      </c>
      <c r="E7" s="42">
        <f t="shared" si="0"/>
        <v>42876.912000000004</v>
      </c>
      <c r="F7" s="42">
        <f t="shared" si="0"/>
        <v>44649.696000000004</v>
      </c>
      <c r="G7" s="42">
        <f t="shared" si="0"/>
        <v>44649.696000000004</v>
      </c>
      <c r="I7" s="58"/>
      <c r="J7" s="58"/>
      <c r="K7" s="58"/>
    </row>
    <row r="8" spans="1:14" s="45" customFormat="1">
      <c r="A8" s="39"/>
      <c r="B8" s="41" t="s">
        <v>19</v>
      </c>
      <c r="C8" s="43">
        <v>18.9237</v>
      </c>
      <c r="D8" s="43">
        <v>19.746600000000001</v>
      </c>
      <c r="E8" s="43">
        <v>20.613900000000001</v>
      </c>
      <c r="F8" s="43">
        <v>21.466200000000001</v>
      </c>
      <c r="G8" s="43">
        <v>21.466200000000001</v>
      </c>
      <c r="J8" s="58"/>
      <c r="K8" s="58"/>
      <c r="L8" s="58"/>
    </row>
    <row r="9" spans="1:14" s="45" customFormat="1">
      <c r="A9" s="39"/>
      <c r="B9" s="41" t="s">
        <v>68</v>
      </c>
      <c r="C9" s="39"/>
      <c r="D9" s="39"/>
      <c r="E9" s="39"/>
      <c r="F9" s="39"/>
      <c r="G9" s="39"/>
      <c r="J9" s="58"/>
      <c r="K9" s="58"/>
      <c r="L9" s="58"/>
    </row>
    <row r="10" spans="1:14" s="45" customFormat="1">
      <c r="A10" s="39"/>
      <c r="B10" s="41" t="s">
        <v>69</v>
      </c>
      <c r="C10" s="39"/>
      <c r="D10" s="39"/>
      <c r="E10" s="39"/>
      <c r="F10" s="39"/>
      <c r="G10" s="39"/>
      <c r="J10" s="58"/>
      <c r="K10" s="58"/>
      <c r="L10" s="58"/>
    </row>
    <row r="11" spans="1:14" s="45" customFormat="1">
      <c r="A11" s="39"/>
      <c r="C11" s="46"/>
      <c r="D11" s="46"/>
      <c r="E11" s="39"/>
      <c r="F11" s="39"/>
      <c r="G11" s="39"/>
      <c r="J11" s="58"/>
      <c r="K11" s="58"/>
      <c r="L11" s="58"/>
    </row>
    <row r="12" spans="1:14" s="45" customFormat="1">
      <c r="A12" s="40">
        <v>2</v>
      </c>
      <c r="B12" s="41" t="s">
        <v>24</v>
      </c>
      <c r="C12" s="42">
        <f t="shared" ref="C12:F12" si="1">+C13*2080</f>
        <v>42326.336000000003</v>
      </c>
      <c r="D12" s="42">
        <f t="shared" si="1"/>
        <v>44220.383999999998</v>
      </c>
      <c r="E12" s="42">
        <f t="shared" si="1"/>
        <v>46176.623999999996</v>
      </c>
      <c r="F12" s="42">
        <f t="shared" si="1"/>
        <v>48285.327999999994</v>
      </c>
      <c r="G12" s="47">
        <f>G13*2080</f>
        <v>48376.639999999999</v>
      </c>
      <c r="J12" s="58"/>
      <c r="K12" s="58"/>
      <c r="L12" s="58"/>
    </row>
    <row r="13" spans="1:14" s="45" customFormat="1">
      <c r="A13" s="39"/>
      <c r="B13" s="41" t="s">
        <v>25</v>
      </c>
      <c r="C13" s="43">
        <v>20.3492</v>
      </c>
      <c r="D13" s="43">
        <v>21.259799999999998</v>
      </c>
      <c r="E13" s="43">
        <v>22.200299999999999</v>
      </c>
      <c r="F13" s="43">
        <v>23.214099999999998</v>
      </c>
      <c r="G13" s="43">
        <v>23.257999999999999</v>
      </c>
      <c r="J13" s="58"/>
      <c r="K13" s="58"/>
      <c r="L13" s="58"/>
    </row>
    <row r="14" spans="1:14" s="45" customFormat="1">
      <c r="A14" s="39"/>
      <c r="B14" s="41" t="s">
        <v>26</v>
      </c>
      <c r="C14" s="39"/>
      <c r="D14" s="39"/>
      <c r="E14" s="39"/>
      <c r="F14" s="39"/>
      <c r="G14" s="39"/>
      <c r="J14" s="58"/>
      <c r="K14" s="58"/>
      <c r="L14" s="58"/>
    </row>
    <row r="15" spans="1:14" s="45" customFormat="1">
      <c r="A15" s="39"/>
      <c r="B15" s="41" t="s">
        <v>27</v>
      </c>
      <c r="C15" s="39"/>
      <c r="D15" s="39"/>
      <c r="E15" s="39"/>
      <c r="F15" s="39"/>
      <c r="G15" s="39"/>
      <c r="J15" s="58"/>
      <c r="K15" s="58"/>
      <c r="L15" s="58"/>
    </row>
    <row r="16" spans="1:14" s="45" customFormat="1">
      <c r="A16" s="39"/>
      <c r="C16" s="39"/>
      <c r="D16" s="39"/>
      <c r="E16" s="39"/>
      <c r="F16" s="39"/>
      <c r="G16" s="39"/>
      <c r="J16" s="58"/>
      <c r="K16" s="58"/>
      <c r="L16" s="58"/>
    </row>
    <row r="17" spans="1:14" s="45" customFormat="1">
      <c r="A17" s="40">
        <v>3</v>
      </c>
      <c r="B17" s="41" t="s">
        <v>31</v>
      </c>
      <c r="C17" s="42">
        <f t="shared" ref="C17:E17" si="2">+C18*2080</f>
        <v>43977.024000000005</v>
      </c>
      <c r="D17" s="42">
        <f t="shared" si="2"/>
        <v>45932.223999999995</v>
      </c>
      <c r="E17" s="42">
        <f t="shared" si="2"/>
        <v>48010.560000000005</v>
      </c>
      <c r="F17" s="42">
        <f>F18*2080</f>
        <v>50149.423999999999</v>
      </c>
      <c r="G17" s="47">
        <f>G18*2080</f>
        <v>50362.624000000003</v>
      </c>
      <c r="J17" s="58"/>
      <c r="K17" s="58"/>
      <c r="L17" s="58"/>
    </row>
    <row r="18" spans="1:14" s="45" customFormat="1">
      <c r="A18" s="39"/>
      <c r="B18" s="39"/>
      <c r="C18" s="43">
        <v>21.142800000000001</v>
      </c>
      <c r="D18" s="43">
        <v>22.082799999999999</v>
      </c>
      <c r="E18" s="43">
        <v>23.082000000000001</v>
      </c>
      <c r="F18" s="43">
        <v>24.110299999999999</v>
      </c>
      <c r="G18" s="47">
        <v>24.212800000000001</v>
      </c>
      <c r="J18" s="58"/>
      <c r="K18" s="58"/>
      <c r="L18" s="58"/>
    </row>
    <row r="19" spans="1:14" s="45" customFormat="1">
      <c r="A19" s="39"/>
      <c r="B19" s="39"/>
      <c r="C19" s="39"/>
      <c r="D19" s="39"/>
      <c r="E19" s="39"/>
      <c r="F19" s="39"/>
      <c r="G19" s="44"/>
      <c r="J19" s="58"/>
      <c r="K19" s="58"/>
      <c r="L19" s="58"/>
    </row>
    <row r="20" spans="1:14" s="45" customFormat="1">
      <c r="A20" s="40">
        <v>4</v>
      </c>
      <c r="B20" s="41" t="s">
        <v>32</v>
      </c>
      <c r="C20" s="42">
        <f t="shared" ref="C20:F20" si="3">+C21*2080</f>
        <v>45718.400000000001</v>
      </c>
      <c r="D20" s="42">
        <f t="shared" si="3"/>
        <v>47765.952000000005</v>
      </c>
      <c r="E20" s="42">
        <f t="shared" si="3"/>
        <v>49905.856</v>
      </c>
      <c r="F20" s="42">
        <f t="shared" si="3"/>
        <v>52165.775999999998</v>
      </c>
      <c r="G20" s="47">
        <f>G21*2080</f>
        <v>52502.527999999998</v>
      </c>
      <c r="J20" s="58"/>
      <c r="K20" s="58"/>
      <c r="L20" s="58"/>
    </row>
    <row r="21" spans="1:14" s="45" customFormat="1">
      <c r="A21" s="39"/>
      <c r="B21" s="41" t="s">
        <v>33</v>
      </c>
      <c r="C21" s="43">
        <v>21.98</v>
      </c>
      <c r="D21" s="43">
        <v>22.964400000000001</v>
      </c>
      <c r="E21" s="43">
        <v>23.993200000000002</v>
      </c>
      <c r="F21" s="43">
        <v>25.079699999999999</v>
      </c>
      <c r="G21" s="47">
        <v>25.241599999999998</v>
      </c>
      <c r="J21" s="58"/>
      <c r="K21" s="58"/>
      <c r="L21" s="58"/>
    </row>
    <row r="22" spans="1:14" s="45" customFormat="1">
      <c r="A22" s="39"/>
      <c r="B22" s="41" t="s">
        <v>34</v>
      </c>
      <c r="C22" s="39"/>
      <c r="D22" s="39"/>
      <c r="E22" s="39"/>
      <c r="F22" s="39"/>
      <c r="G22" s="44"/>
      <c r="J22" s="58"/>
      <c r="K22" s="58"/>
      <c r="L22" s="58"/>
    </row>
    <row r="23" spans="1:14" s="45" customFormat="1">
      <c r="A23" s="39"/>
      <c r="B23" s="41" t="s">
        <v>36</v>
      </c>
      <c r="C23" s="39"/>
      <c r="D23" s="39"/>
      <c r="E23" s="39"/>
      <c r="F23" s="39"/>
      <c r="G23" s="39"/>
      <c r="J23" s="58"/>
      <c r="K23" s="58"/>
      <c r="L23" s="58"/>
    </row>
    <row r="24" spans="1:14" s="45" customFormat="1">
      <c r="A24" s="49"/>
      <c r="B24" s="41"/>
      <c r="C24" s="39"/>
      <c r="D24" s="39"/>
      <c r="E24" s="39"/>
      <c r="F24" s="39"/>
      <c r="G24" s="39"/>
      <c r="J24" s="58"/>
      <c r="K24" s="58"/>
      <c r="L24" s="58"/>
    </row>
    <row r="25" spans="1:14" s="45" customFormat="1">
      <c r="A25" s="49">
        <v>5</v>
      </c>
      <c r="B25" s="41" t="s">
        <v>38</v>
      </c>
      <c r="C25" s="47">
        <f t="shared" ref="C25:G25" si="4">C26*2080</f>
        <v>45929.311999999998</v>
      </c>
      <c r="D25" s="47">
        <f t="shared" si="4"/>
        <v>47965.007999999994</v>
      </c>
      <c r="E25" s="47">
        <f t="shared" si="4"/>
        <v>50158.576000000001</v>
      </c>
      <c r="F25" s="47">
        <f t="shared" si="4"/>
        <v>52413.920000000006</v>
      </c>
      <c r="G25" s="47">
        <f t="shared" si="4"/>
        <v>54795.104000000007</v>
      </c>
      <c r="J25" s="58"/>
      <c r="K25" s="58"/>
      <c r="L25" s="58"/>
    </row>
    <row r="26" spans="1:14" s="45" customFormat="1">
      <c r="A26" s="49"/>
      <c r="B26" s="41"/>
      <c r="C26" s="47">
        <v>22.081399999999999</v>
      </c>
      <c r="D26" s="47">
        <v>23.060099999999998</v>
      </c>
      <c r="E26" s="47">
        <v>24.114699999999999</v>
      </c>
      <c r="F26" s="47">
        <v>25.199000000000002</v>
      </c>
      <c r="G26" s="47">
        <v>26.343800000000002</v>
      </c>
      <c r="J26" s="58"/>
      <c r="K26" s="58"/>
      <c r="L26" s="58"/>
    </row>
    <row r="27" spans="1:14" s="45" customFormat="1">
      <c r="A27" s="39"/>
      <c r="B27" s="41"/>
      <c r="C27" s="39"/>
      <c r="D27" s="39"/>
      <c r="E27" s="39"/>
      <c r="F27" s="39"/>
      <c r="G27" s="39"/>
      <c r="J27" s="58"/>
      <c r="K27" s="58"/>
      <c r="L27" s="58"/>
    </row>
    <row r="28" spans="1:14" s="45" customFormat="1">
      <c r="A28" s="40">
        <v>6</v>
      </c>
      <c r="B28" s="41" t="s">
        <v>39</v>
      </c>
      <c r="C28" s="42">
        <f t="shared" ref="C28:F28" si="5">+C29*2080</f>
        <v>49507.743999999999</v>
      </c>
      <c r="D28" s="42">
        <f t="shared" si="5"/>
        <v>51768.703999999998</v>
      </c>
      <c r="E28" s="42">
        <f t="shared" si="5"/>
        <v>54030.912000000004</v>
      </c>
      <c r="F28" s="42">
        <f t="shared" si="5"/>
        <v>56505.279999999999</v>
      </c>
      <c r="G28" s="50">
        <f>G29*2080</f>
        <v>57208.528000000006</v>
      </c>
      <c r="J28" s="58"/>
      <c r="K28" s="58"/>
      <c r="L28" s="58"/>
    </row>
    <row r="29" spans="1:14" s="45" customFormat="1">
      <c r="A29" s="39"/>
      <c r="B29" s="39"/>
      <c r="C29" s="43">
        <v>23.8018</v>
      </c>
      <c r="D29" s="43">
        <v>24.8888</v>
      </c>
      <c r="E29" s="43">
        <v>25.976400000000002</v>
      </c>
      <c r="F29" s="43">
        <v>27.166</v>
      </c>
      <c r="G29" s="50">
        <v>27.504100000000001</v>
      </c>
      <c r="J29" s="58"/>
      <c r="K29" s="58"/>
      <c r="L29" s="58"/>
    </row>
    <row r="30" spans="1:14" s="45" customFormat="1">
      <c r="A30" s="39"/>
      <c r="B30" s="39"/>
      <c r="C30" s="44"/>
      <c r="D30" s="44"/>
      <c r="E30" s="44"/>
      <c r="F30" s="44"/>
      <c r="G30" s="44"/>
      <c r="H30" s="44"/>
      <c r="K30" s="58"/>
      <c r="L30" s="58"/>
      <c r="M30" s="58"/>
    </row>
    <row r="31" spans="1:14" s="45" customFormat="1">
      <c r="A31" s="31" t="s">
        <v>0</v>
      </c>
      <c r="B31" s="31"/>
      <c r="C31" s="31"/>
      <c r="D31" s="31"/>
      <c r="E31" s="31"/>
      <c r="F31" s="31"/>
      <c r="G31" s="31"/>
      <c r="H31" s="31"/>
      <c r="L31" s="58"/>
      <c r="M31" s="58"/>
      <c r="N31" s="58"/>
    </row>
    <row r="32" spans="1:14" s="45" customFormat="1">
      <c r="A32" s="32" t="s">
        <v>1</v>
      </c>
      <c r="B32" s="31"/>
      <c r="C32" s="31"/>
      <c r="D32" s="31"/>
      <c r="E32" s="31"/>
      <c r="F32" s="31"/>
      <c r="G32" s="31"/>
      <c r="H32" s="31"/>
      <c r="L32" s="58"/>
      <c r="M32" s="58"/>
      <c r="N32" s="58"/>
    </row>
    <row r="33" spans="1:14" s="45" customFormat="1" ht="15.75" thickBot="1">
      <c r="A33" s="61" t="s">
        <v>80</v>
      </c>
      <c r="B33" s="61"/>
      <c r="C33" s="61"/>
      <c r="D33" s="61"/>
      <c r="E33" s="61"/>
      <c r="F33" s="61"/>
      <c r="G33" s="61"/>
      <c r="H33" s="61"/>
      <c r="I33" s="59"/>
      <c r="L33" s="58"/>
      <c r="M33" s="58"/>
      <c r="N33" s="58"/>
    </row>
    <row r="34" spans="1:14" s="45" customFormat="1">
      <c r="A34" s="33" t="s">
        <v>3</v>
      </c>
      <c r="B34" s="34"/>
      <c r="C34" s="34"/>
      <c r="D34" s="34"/>
      <c r="E34" s="34"/>
      <c r="F34" s="34"/>
      <c r="G34" s="34"/>
      <c r="H34" s="35"/>
      <c r="K34" s="58"/>
      <c r="L34" s="58"/>
      <c r="M34" s="58"/>
    </row>
    <row r="35" spans="1:14" s="45" customFormat="1" ht="15.75" thickBot="1">
      <c r="A35" s="36" t="s">
        <v>4</v>
      </c>
      <c r="B35" s="37" t="s">
        <v>5</v>
      </c>
      <c r="C35" s="37" t="s">
        <v>63</v>
      </c>
      <c r="D35" s="37" t="s">
        <v>64</v>
      </c>
      <c r="E35" s="37" t="s">
        <v>65</v>
      </c>
      <c r="F35" s="37" t="s">
        <v>66</v>
      </c>
      <c r="G35" s="37" t="s">
        <v>67</v>
      </c>
      <c r="H35" s="38"/>
      <c r="K35" s="58"/>
      <c r="L35" s="58"/>
      <c r="M35" s="58"/>
    </row>
    <row r="36" spans="1:14" s="45" customFormat="1" ht="35.25" customHeight="1">
      <c r="A36" s="49">
        <v>7</v>
      </c>
      <c r="B36" s="41" t="s">
        <v>60</v>
      </c>
      <c r="C36" s="51">
        <f t="shared" ref="C36:F36" si="6">+C37*2080</f>
        <v>50149.423999999999</v>
      </c>
      <c r="D36" s="51">
        <f t="shared" si="6"/>
        <v>52441.375999999997</v>
      </c>
      <c r="E36" s="51">
        <f t="shared" si="6"/>
        <v>55252.08</v>
      </c>
      <c r="F36" s="51">
        <f t="shared" si="6"/>
        <v>57332.08</v>
      </c>
      <c r="G36" s="52">
        <f>G37*2080</f>
        <v>58095.856</v>
      </c>
      <c r="J36" s="58"/>
      <c r="K36" s="58"/>
      <c r="L36" s="58"/>
    </row>
    <row r="37" spans="1:14" s="45" customFormat="1">
      <c r="A37" s="39"/>
      <c r="B37" s="41" t="s">
        <v>61</v>
      </c>
      <c r="C37" s="51">
        <v>24.110299999999999</v>
      </c>
      <c r="D37" s="51">
        <v>25.212199999999999</v>
      </c>
      <c r="E37" s="51">
        <v>26.563500000000001</v>
      </c>
      <c r="F37" s="51">
        <v>27.563500000000001</v>
      </c>
      <c r="G37" s="51">
        <v>27.930700000000002</v>
      </c>
      <c r="J37" s="58"/>
      <c r="K37" s="58"/>
      <c r="L37" s="58"/>
    </row>
    <row r="38" spans="1:14" s="45" customFormat="1">
      <c r="A38" s="39"/>
      <c r="B38" s="41" t="s">
        <v>77</v>
      </c>
      <c r="C38" s="51"/>
      <c r="D38" s="51"/>
      <c r="E38" s="51"/>
      <c r="F38" s="51"/>
      <c r="G38" s="51"/>
      <c r="J38" s="58"/>
      <c r="K38" s="58"/>
      <c r="L38" s="58"/>
    </row>
    <row r="39" spans="1:14" s="45" customFormat="1">
      <c r="A39" s="39"/>
      <c r="B39" s="41"/>
      <c r="C39" s="51"/>
      <c r="D39" s="51"/>
      <c r="E39" s="51"/>
      <c r="F39" s="51"/>
      <c r="G39" s="51"/>
      <c r="J39" s="58"/>
      <c r="K39" s="58"/>
      <c r="L39" s="58"/>
    </row>
    <row r="40" spans="1:14" s="45" customFormat="1">
      <c r="A40" s="49">
        <v>8</v>
      </c>
      <c r="B40" s="41" t="s">
        <v>43</v>
      </c>
      <c r="C40" s="51">
        <f t="shared" ref="C40:F40" si="7">+C41*2080</f>
        <v>51523.68</v>
      </c>
      <c r="D40" s="51">
        <f t="shared" si="7"/>
        <v>53877.2</v>
      </c>
      <c r="E40" s="51">
        <f t="shared" si="7"/>
        <v>56322.031999999999</v>
      </c>
      <c r="F40" s="51">
        <f t="shared" si="7"/>
        <v>58920.160000000003</v>
      </c>
      <c r="G40" s="52">
        <f>G41*2080</f>
        <v>59746.544000000002</v>
      </c>
      <c r="J40" s="58"/>
      <c r="K40" s="58"/>
      <c r="L40" s="58"/>
    </row>
    <row r="41" spans="1:14" s="45" customFormat="1">
      <c r="A41" s="41"/>
      <c r="B41" s="41"/>
      <c r="C41" s="51">
        <v>24.771000000000001</v>
      </c>
      <c r="D41" s="51">
        <v>25.9025</v>
      </c>
      <c r="E41" s="51">
        <v>27.0779</v>
      </c>
      <c r="F41" s="51">
        <v>28.327000000000002</v>
      </c>
      <c r="G41" s="51">
        <v>28.724299999999999</v>
      </c>
      <c r="J41" s="58"/>
      <c r="K41" s="58"/>
      <c r="L41" s="58"/>
    </row>
    <row r="42" spans="1:14" s="45" customFormat="1">
      <c r="C42" s="53"/>
      <c r="D42" s="53"/>
      <c r="E42" s="53"/>
      <c r="F42" s="53"/>
      <c r="G42" s="53"/>
      <c r="J42" s="58"/>
      <c r="K42" s="58"/>
      <c r="L42" s="58"/>
    </row>
    <row r="43" spans="1:14" s="45" customFormat="1">
      <c r="A43" s="40">
        <v>9</v>
      </c>
      <c r="B43" s="41" t="s">
        <v>46</v>
      </c>
      <c r="C43" s="42">
        <f>C44*2080</f>
        <v>50056.656000000003</v>
      </c>
      <c r="D43" s="51">
        <f t="shared" ref="D43:G43" si="8">+D44*2080</f>
        <v>52441.375999999997</v>
      </c>
      <c r="E43" s="51">
        <f>E44*2080</f>
        <v>55008.512000000002</v>
      </c>
      <c r="F43" s="51">
        <f t="shared" si="8"/>
        <v>57637.631999999998</v>
      </c>
      <c r="G43" s="51">
        <f t="shared" si="8"/>
        <v>60478.288</v>
      </c>
      <c r="H43" s="51"/>
      <c r="J43" s="58"/>
      <c r="K43" s="58"/>
    </row>
    <row r="44" spans="1:14" s="45" customFormat="1">
      <c r="A44" s="41"/>
      <c r="B44" s="39"/>
      <c r="C44" s="47">
        <v>24.0657</v>
      </c>
      <c r="D44" s="51">
        <v>25.212199999999999</v>
      </c>
      <c r="E44" s="51">
        <v>26.446400000000001</v>
      </c>
      <c r="F44" s="51">
        <v>27.7104</v>
      </c>
      <c r="G44" s="51">
        <v>29.0761</v>
      </c>
      <c r="H44" s="51"/>
      <c r="J44" s="58"/>
      <c r="K44" s="58"/>
    </row>
    <row r="45" spans="1:14" s="45" customFormat="1">
      <c r="C45" s="41"/>
      <c r="D45" s="54"/>
      <c r="E45" s="54"/>
      <c r="F45" s="54"/>
      <c r="G45" s="54"/>
      <c r="H45" s="53"/>
      <c r="J45" s="58"/>
      <c r="K45" s="58"/>
    </row>
    <row r="46" spans="1:14" s="45" customFormat="1">
      <c r="A46" s="40">
        <v>10</v>
      </c>
      <c r="B46" s="41" t="s">
        <v>47</v>
      </c>
      <c r="C46" s="42">
        <f>C47*2080</f>
        <v>50302.720000000001</v>
      </c>
      <c r="D46" s="51">
        <f t="shared" ref="D46:G46" si="9">+D47*2080</f>
        <v>53818.127999999997</v>
      </c>
      <c r="E46" s="51">
        <f t="shared" si="9"/>
        <v>56353.023999999998</v>
      </c>
      <c r="F46" s="51">
        <f t="shared" si="9"/>
        <v>58980.896000000001</v>
      </c>
      <c r="G46" s="51">
        <f t="shared" si="9"/>
        <v>61823.839999999997</v>
      </c>
      <c r="H46" s="51"/>
      <c r="J46" s="58"/>
      <c r="K46" s="58"/>
    </row>
    <row r="47" spans="1:14" s="45" customFormat="1">
      <c r="A47" s="39"/>
      <c r="B47" s="39"/>
      <c r="C47" s="47">
        <v>24.184000000000001</v>
      </c>
      <c r="D47" s="51">
        <v>25.874099999999999</v>
      </c>
      <c r="E47" s="51">
        <v>27.0928</v>
      </c>
      <c r="F47" s="51">
        <v>28.356200000000001</v>
      </c>
      <c r="G47" s="51">
        <v>29.722999999999999</v>
      </c>
      <c r="H47" s="51"/>
      <c r="J47" s="58"/>
      <c r="K47" s="58"/>
    </row>
    <row r="48" spans="1:14" s="45" customFormat="1">
      <c r="C48" s="51"/>
      <c r="D48" s="51"/>
      <c r="E48" s="54"/>
      <c r="F48" s="54"/>
      <c r="G48" s="54"/>
      <c r="J48" s="58"/>
      <c r="K48" s="58"/>
      <c r="L48" s="58"/>
    </row>
    <row r="49" spans="1:12" s="45" customFormat="1">
      <c r="A49" s="40">
        <v>11</v>
      </c>
      <c r="B49" s="41" t="s">
        <v>70</v>
      </c>
      <c r="C49" s="51">
        <f t="shared" ref="C49:F49" si="10">+C50*2080</f>
        <v>53724.944000000003</v>
      </c>
      <c r="D49" s="51">
        <f t="shared" si="10"/>
        <v>56171.023999999998</v>
      </c>
      <c r="E49" s="51">
        <f t="shared" si="10"/>
        <v>58737.743999999999</v>
      </c>
      <c r="F49" s="51">
        <f t="shared" si="10"/>
        <v>61426.976000000002</v>
      </c>
      <c r="G49" s="52">
        <f>G50*2080</f>
        <v>62435.983999999997</v>
      </c>
      <c r="J49" s="58"/>
      <c r="K49" s="58"/>
      <c r="L49" s="58"/>
    </row>
    <row r="50" spans="1:12" s="45" customFormat="1">
      <c r="B50" s="41" t="s">
        <v>49</v>
      </c>
      <c r="C50" s="51">
        <v>25.8293</v>
      </c>
      <c r="D50" s="51">
        <v>27.005299999999998</v>
      </c>
      <c r="E50" s="51">
        <v>28.2393</v>
      </c>
      <c r="F50" s="51">
        <v>29.5322</v>
      </c>
      <c r="G50" s="51">
        <v>30.017299999999999</v>
      </c>
      <c r="J50" s="58"/>
      <c r="K50" s="58"/>
      <c r="L50" s="58"/>
    </row>
    <row r="51" spans="1:12" s="45" customFormat="1">
      <c r="A51" s="39"/>
      <c r="C51" s="54"/>
      <c r="D51" s="54"/>
      <c r="E51" s="54"/>
      <c r="F51" s="54"/>
      <c r="G51" s="54"/>
      <c r="J51" s="58"/>
      <c r="K51" s="58"/>
      <c r="L51" s="58"/>
    </row>
    <row r="52" spans="1:12" s="45" customFormat="1">
      <c r="A52" s="40">
        <v>12</v>
      </c>
      <c r="B52" s="41" t="s">
        <v>50</v>
      </c>
      <c r="C52" s="51">
        <f t="shared" ref="C52:F52" si="11">+C53*2080</f>
        <v>54275.104000000007</v>
      </c>
      <c r="D52" s="51">
        <f t="shared" si="11"/>
        <v>56443.920000000006</v>
      </c>
      <c r="E52" s="51">
        <f t="shared" si="11"/>
        <v>58737.743999999999</v>
      </c>
      <c r="F52" s="51">
        <f t="shared" si="11"/>
        <v>60998.703999999998</v>
      </c>
      <c r="G52" s="52">
        <f>G53*2080</f>
        <v>63259.871999999996</v>
      </c>
      <c r="J52" s="58"/>
      <c r="K52" s="58"/>
      <c r="L52" s="58"/>
    </row>
    <row r="53" spans="1:12" s="45" customFormat="1">
      <c r="A53" s="55"/>
      <c r="B53" s="39"/>
      <c r="C53" s="51">
        <v>26.093800000000002</v>
      </c>
      <c r="D53" s="51">
        <v>27.136500000000002</v>
      </c>
      <c r="E53" s="51">
        <v>28.2393</v>
      </c>
      <c r="F53" s="51">
        <v>29.3263</v>
      </c>
      <c r="G53" s="51">
        <v>30.413399999999999</v>
      </c>
      <c r="J53" s="58"/>
      <c r="K53" s="58"/>
      <c r="L53" s="58"/>
    </row>
    <row r="54" spans="1:12" s="45" customFormat="1">
      <c r="A54" s="40">
        <v>13</v>
      </c>
      <c r="B54" s="41" t="s">
        <v>51</v>
      </c>
      <c r="C54" s="54"/>
      <c r="D54" s="54"/>
      <c r="E54" s="54"/>
      <c r="F54" s="54"/>
      <c r="G54" s="54"/>
      <c r="J54" s="58"/>
      <c r="K54" s="58"/>
      <c r="L54" s="58"/>
    </row>
    <row r="55" spans="1:12" s="45" customFormat="1">
      <c r="B55" s="41" t="s">
        <v>52</v>
      </c>
      <c r="C55" s="51">
        <f t="shared" ref="C55:F55" si="12">+C56*2080</f>
        <v>55711.135999999999</v>
      </c>
      <c r="D55" s="51">
        <f t="shared" si="12"/>
        <v>57760.144</v>
      </c>
      <c r="E55" s="51">
        <f t="shared" si="12"/>
        <v>59867.807999999997</v>
      </c>
      <c r="F55" s="51">
        <f t="shared" si="12"/>
        <v>62007.296000000002</v>
      </c>
      <c r="G55" s="52">
        <f>G56*2080</f>
        <v>64084.799999999996</v>
      </c>
      <c r="J55" s="58"/>
      <c r="K55" s="58"/>
      <c r="L55" s="58"/>
    </row>
    <row r="56" spans="1:12" s="45" customFormat="1">
      <c r="A56" s="55"/>
      <c r="B56" s="41" t="s">
        <v>53</v>
      </c>
      <c r="C56" s="51">
        <v>26.784199999999998</v>
      </c>
      <c r="D56" s="51">
        <v>27.769300000000001</v>
      </c>
      <c r="E56" s="51">
        <v>28.782599999999999</v>
      </c>
      <c r="F56" s="51">
        <v>29.811199999999999</v>
      </c>
      <c r="G56" s="51">
        <v>30.81</v>
      </c>
      <c r="J56" s="58"/>
      <c r="K56" s="58"/>
      <c r="L56" s="58"/>
    </row>
    <row r="57" spans="1:12" s="45" customFormat="1">
      <c r="A57" s="55"/>
      <c r="B57" s="39"/>
      <c r="C57" s="51"/>
      <c r="D57" s="51"/>
      <c r="E57" s="51"/>
      <c r="F57" s="51"/>
      <c r="G57" s="51"/>
      <c r="J57" s="58"/>
      <c r="K57" s="58"/>
      <c r="L57" s="58"/>
    </row>
    <row r="58" spans="1:12" s="45" customFormat="1">
      <c r="A58" s="40">
        <v>14</v>
      </c>
      <c r="B58" s="41" t="s">
        <v>57</v>
      </c>
      <c r="C58" s="51">
        <f t="shared" ref="C58:F58" si="13">+C59*2080</f>
        <v>58524.128000000004</v>
      </c>
      <c r="D58" s="51">
        <f t="shared" si="13"/>
        <v>61182.368000000002</v>
      </c>
      <c r="E58" s="51">
        <f t="shared" si="13"/>
        <v>64025.312000000005</v>
      </c>
      <c r="F58" s="51">
        <f t="shared" si="13"/>
        <v>67019.263999999996</v>
      </c>
      <c r="G58" s="52">
        <f>G59*2080</f>
        <v>68394.975999999995</v>
      </c>
      <c r="J58" s="58"/>
      <c r="K58" s="58"/>
      <c r="L58" s="58"/>
    </row>
    <row r="59" spans="1:12" s="45" customFormat="1">
      <c r="A59" s="39"/>
      <c r="B59" s="41" t="s">
        <v>58</v>
      </c>
      <c r="C59" s="51">
        <v>28.136600000000001</v>
      </c>
      <c r="D59" s="51">
        <v>29.4146</v>
      </c>
      <c r="E59" s="51">
        <v>30.781400000000001</v>
      </c>
      <c r="F59" s="51">
        <v>32.220799999999997</v>
      </c>
      <c r="G59" s="56">
        <v>32.882199999999997</v>
      </c>
      <c r="J59" s="58"/>
      <c r="K59" s="58"/>
      <c r="L59" s="58"/>
    </row>
    <row r="60" spans="1:12">
      <c r="A60" s="11"/>
      <c r="B60" s="41" t="s">
        <v>72</v>
      </c>
      <c r="C60" s="11"/>
      <c r="D60" s="11"/>
      <c r="E60" s="11"/>
      <c r="F60" s="11"/>
      <c r="G60" s="11"/>
      <c r="J60" s="19"/>
      <c r="K60" s="19"/>
      <c r="L60" s="19"/>
    </row>
  </sheetData>
  <mergeCells count="2">
    <mergeCell ref="A3:H3"/>
    <mergeCell ref="A33:H33"/>
  </mergeCells>
  <pageMargins left="0.7" right="0.7" top="0.75" bottom="0.75" header="0.3" footer="0.3"/>
  <ignoredErrors>
    <ignoredError sqref="E4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AAB41-F8F3-4C51-A71A-167743F1A9B1}">
  <dimension ref="A1:N60"/>
  <sheetViews>
    <sheetView topLeftCell="A9" workbookViewId="0">
      <selection activeCell="A3" sqref="A3:H3"/>
    </sheetView>
  </sheetViews>
  <sheetFormatPr defaultRowHeight="15"/>
  <cols>
    <col min="1" max="1" width="7.88671875" bestFit="1" customWidth="1"/>
    <col min="2" max="2" width="27.44140625" bestFit="1" customWidth="1"/>
    <col min="3" max="4" width="11.44140625" bestFit="1" customWidth="1"/>
    <col min="5" max="5" width="13.109375" bestFit="1" customWidth="1"/>
    <col min="6" max="7" width="11.44140625" bestFit="1" customWidth="1"/>
  </cols>
  <sheetData>
    <row r="1" spans="1:14" s="45" customFormat="1">
      <c r="A1" s="31" t="s">
        <v>0</v>
      </c>
      <c r="B1" s="31"/>
      <c r="C1" s="31"/>
      <c r="D1" s="31"/>
      <c r="E1" s="31"/>
      <c r="F1" s="31"/>
      <c r="G1" s="31"/>
      <c r="H1" s="31"/>
      <c r="L1" s="58"/>
      <c r="M1" s="58"/>
      <c r="N1" s="58"/>
    </row>
    <row r="2" spans="1:14" s="45" customFormat="1">
      <c r="A2" s="32" t="s">
        <v>1</v>
      </c>
      <c r="B2" s="31"/>
      <c r="C2" s="31"/>
      <c r="D2" s="31"/>
      <c r="E2" s="31"/>
      <c r="F2" s="31"/>
      <c r="G2" s="31"/>
      <c r="H2" s="31"/>
      <c r="L2" s="58"/>
      <c r="M2" s="58"/>
      <c r="N2" s="58"/>
    </row>
    <row r="3" spans="1:14" s="45" customFormat="1" ht="15.75" thickBot="1">
      <c r="A3" s="61" t="s">
        <v>79</v>
      </c>
      <c r="B3" s="61"/>
      <c r="C3" s="61"/>
      <c r="D3" s="61"/>
      <c r="E3" s="61"/>
      <c r="F3" s="61"/>
      <c r="G3" s="61"/>
      <c r="H3" s="61"/>
      <c r="L3" s="58"/>
      <c r="M3" s="58"/>
      <c r="N3" s="58"/>
    </row>
    <row r="4" spans="1:14" s="45" customFormat="1">
      <c r="A4" s="33" t="s">
        <v>3</v>
      </c>
      <c r="B4" s="34"/>
      <c r="C4" s="34"/>
      <c r="D4" s="34"/>
      <c r="E4" s="34"/>
      <c r="F4" s="34"/>
      <c r="G4" s="34"/>
      <c r="H4" s="35"/>
      <c r="J4" s="58"/>
      <c r="K4" s="58"/>
      <c r="L4" s="58"/>
    </row>
    <row r="5" spans="1:14" s="45" customFormat="1" ht="15.75" thickBot="1">
      <c r="A5" s="36" t="s">
        <v>4</v>
      </c>
      <c r="B5" s="37" t="s">
        <v>5</v>
      </c>
      <c r="C5" s="37" t="s">
        <v>63</v>
      </c>
      <c r="D5" s="37" t="s">
        <v>64</v>
      </c>
      <c r="E5" s="37" t="s">
        <v>65</v>
      </c>
      <c r="F5" s="37" t="s">
        <v>66</v>
      </c>
      <c r="G5" s="37" t="s">
        <v>67</v>
      </c>
      <c r="H5" s="38"/>
      <c r="J5" s="58"/>
      <c r="K5" s="58"/>
      <c r="L5" s="58"/>
    </row>
    <row r="6" spans="1:14" s="45" customFormat="1">
      <c r="A6" s="39"/>
      <c r="B6" s="39"/>
      <c r="C6" s="39"/>
      <c r="D6" s="39"/>
      <c r="E6" s="39"/>
      <c r="F6" s="39"/>
      <c r="G6" s="39"/>
      <c r="H6" s="39"/>
      <c r="J6" s="58"/>
      <c r="K6" s="58"/>
      <c r="L6" s="58"/>
    </row>
    <row r="7" spans="1:14" s="45" customFormat="1">
      <c r="A7" s="40">
        <v>1</v>
      </c>
      <c r="B7" s="41" t="s">
        <v>18</v>
      </c>
      <c r="C7" s="42">
        <f t="shared" ref="C7:G7" si="0">+C8*2080</f>
        <v>40345.343999999997</v>
      </c>
      <c r="D7" s="42">
        <f t="shared" si="0"/>
        <v>42099.824000000001</v>
      </c>
      <c r="E7" s="42">
        <f t="shared" si="0"/>
        <v>43948.736000000004</v>
      </c>
      <c r="F7" s="42">
        <f t="shared" si="0"/>
        <v>45766.031999999999</v>
      </c>
      <c r="G7" s="42">
        <f t="shared" si="0"/>
        <v>45766.031999999999</v>
      </c>
      <c r="I7" s="58"/>
      <c r="J7" s="58"/>
      <c r="K7" s="58"/>
    </row>
    <row r="8" spans="1:14" s="45" customFormat="1">
      <c r="A8" s="39"/>
      <c r="B8" s="41" t="s">
        <v>19</v>
      </c>
      <c r="C8" s="43">
        <v>19.396799999999999</v>
      </c>
      <c r="D8" s="43">
        <v>20.240300000000001</v>
      </c>
      <c r="E8" s="43">
        <v>21.129200000000001</v>
      </c>
      <c r="F8" s="43">
        <v>22.0029</v>
      </c>
      <c r="G8" s="43">
        <v>22.0029</v>
      </c>
      <c r="J8" s="58"/>
      <c r="K8" s="58"/>
      <c r="L8" s="58"/>
    </row>
    <row r="9" spans="1:14" s="45" customFormat="1">
      <c r="A9" s="39"/>
      <c r="B9" s="41" t="s">
        <v>68</v>
      </c>
      <c r="C9" s="39"/>
      <c r="D9" s="39"/>
      <c r="E9" s="39"/>
      <c r="F9" s="39"/>
      <c r="G9" s="39"/>
      <c r="J9" s="58"/>
      <c r="K9" s="58"/>
      <c r="L9" s="58"/>
    </row>
    <row r="10" spans="1:14" s="45" customFormat="1">
      <c r="A10" s="39"/>
      <c r="B10" s="41" t="s">
        <v>69</v>
      </c>
      <c r="C10" s="39"/>
      <c r="D10" s="39"/>
      <c r="E10" s="39"/>
      <c r="F10" s="39"/>
      <c r="G10" s="39"/>
      <c r="J10" s="58"/>
      <c r="K10" s="58"/>
      <c r="L10" s="58"/>
    </row>
    <row r="11" spans="1:14" s="45" customFormat="1">
      <c r="A11" s="39"/>
      <c r="C11" s="46"/>
      <c r="D11" s="46"/>
      <c r="E11" s="39"/>
      <c r="F11" s="39"/>
      <c r="G11" s="39"/>
      <c r="J11" s="58"/>
      <c r="K11" s="58"/>
      <c r="L11" s="58"/>
    </row>
    <row r="12" spans="1:14" s="45" customFormat="1">
      <c r="A12" s="40">
        <v>2</v>
      </c>
      <c r="B12" s="41" t="s">
        <v>24</v>
      </c>
      <c r="C12" s="42">
        <f t="shared" ref="C12:F12" si="1">+C13*2080</f>
        <v>43384.432000000001</v>
      </c>
      <c r="D12" s="42">
        <f t="shared" si="1"/>
        <v>45325.904000000002</v>
      </c>
      <c r="E12" s="42">
        <f t="shared" si="1"/>
        <v>47331.023999999998</v>
      </c>
      <c r="F12" s="42">
        <f t="shared" si="1"/>
        <v>49492.56</v>
      </c>
      <c r="G12" s="47">
        <f>G13*2080</f>
        <v>49586.16</v>
      </c>
      <c r="J12" s="58"/>
      <c r="K12" s="58"/>
      <c r="L12" s="58"/>
    </row>
    <row r="13" spans="1:14" s="45" customFormat="1">
      <c r="A13" s="39"/>
      <c r="B13" s="41" t="s">
        <v>25</v>
      </c>
      <c r="C13" s="43">
        <v>20.857900000000001</v>
      </c>
      <c r="D13" s="43">
        <v>21.7913</v>
      </c>
      <c r="E13" s="43">
        <v>22.755299999999998</v>
      </c>
      <c r="F13" s="43">
        <v>23.794499999999999</v>
      </c>
      <c r="G13" s="43">
        <v>23.839500000000001</v>
      </c>
      <c r="J13" s="58"/>
      <c r="K13" s="58"/>
      <c r="L13" s="58"/>
    </row>
    <row r="14" spans="1:14" s="45" customFormat="1">
      <c r="A14" s="39"/>
      <c r="B14" s="41" t="s">
        <v>26</v>
      </c>
      <c r="C14" s="39"/>
      <c r="D14" s="39"/>
      <c r="E14" s="39"/>
      <c r="F14" s="39"/>
      <c r="G14" s="39"/>
      <c r="J14" s="58"/>
      <c r="K14" s="58"/>
      <c r="L14" s="58"/>
    </row>
    <row r="15" spans="1:14" s="45" customFormat="1">
      <c r="A15" s="39"/>
      <c r="B15" s="41" t="s">
        <v>27</v>
      </c>
      <c r="C15" s="39"/>
      <c r="D15" s="39"/>
      <c r="E15" s="39"/>
      <c r="F15" s="39"/>
      <c r="G15" s="39"/>
      <c r="J15" s="58"/>
      <c r="K15" s="58"/>
      <c r="L15" s="58"/>
    </row>
    <row r="16" spans="1:14" s="45" customFormat="1">
      <c r="A16" s="39"/>
      <c r="C16" s="39"/>
      <c r="D16" s="39"/>
      <c r="E16" s="39"/>
      <c r="F16" s="39"/>
      <c r="G16" s="39"/>
      <c r="J16" s="58"/>
      <c r="K16" s="58"/>
      <c r="L16" s="58"/>
    </row>
    <row r="17" spans="1:14" s="45" customFormat="1">
      <c r="A17" s="40">
        <v>3</v>
      </c>
      <c r="B17" s="41" t="s">
        <v>31</v>
      </c>
      <c r="C17" s="42">
        <f t="shared" ref="C17:E17" si="2">+C18*2080</f>
        <v>45076.511999999995</v>
      </c>
      <c r="D17" s="42">
        <f t="shared" si="2"/>
        <v>47080.591999999997</v>
      </c>
      <c r="E17" s="42">
        <f t="shared" si="2"/>
        <v>49210.928</v>
      </c>
      <c r="F17" s="42">
        <f>F18*2080</f>
        <v>51403.248</v>
      </c>
      <c r="G17" s="47">
        <f>G18*2080</f>
        <v>51621.648000000001</v>
      </c>
      <c r="J17" s="58"/>
      <c r="K17" s="58"/>
      <c r="L17" s="58"/>
    </row>
    <row r="18" spans="1:14" s="45" customFormat="1">
      <c r="A18" s="39"/>
      <c r="B18" s="39"/>
      <c r="C18" s="43">
        <v>21.671399999999998</v>
      </c>
      <c r="D18" s="43">
        <v>22.634899999999998</v>
      </c>
      <c r="E18" s="43">
        <v>23.659099999999999</v>
      </c>
      <c r="F18" s="43">
        <v>24.713100000000001</v>
      </c>
      <c r="G18" s="47">
        <v>24.818100000000001</v>
      </c>
      <c r="J18" s="58"/>
      <c r="K18" s="58"/>
      <c r="L18" s="58"/>
    </row>
    <row r="19" spans="1:14" s="45" customFormat="1">
      <c r="A19" s="39"/>
      <c r="B19" s="39"/>
      <c r="C19" s="39"/>
      <c r="D19" s="39"/>
      <c r="E19" s="39"/>
      <c r="F19" s="39"/>
      <c r="G19" s="44"/>
      <c r="J19" s="58"/>
      <c r="K19" s="58"/>
      <c r="L19" s="58"/>
    </row>
    <row r="20" spans="1:14" s="45" customFormat="1">
      <c r="A20" s="40">
        <v>4</v>
      </c>
      <c r="B20" s="41" t="s">
        <v>32</v>
      </c>
      <c r="C20" s="42">
        <f t="shared" ref="C20:F20" si="3">+C21*2080</f>
        <v>46861.36</v>
      </c>
      <c r="D20" s="42">
        <f t="shared" si="3"/>
        <v>48960.08</v>
      </c>
      <c r="E20" s="42">
        <f t="shared" si="3"/>
        <v>51153.440000000002</v>
      </c>
      <c r="F20" s="42">
        <f t="shared" si="3"/>
        <v>53469.936000000002</v>
      </c>
      <c r="G20" s="47">
        <f>G21*2080</f>
        <v>53815.007999999994</v>
      </c>
      <c r="J20" s="58"/>
      <c r="K20" s="58"/>
      <c r="L20" s="58"/>
    </row>
    <row r="21" spans="1:14" s="45" customFormat="1">
      <c r="A21" s="39"/>
      <c r="B21" s="41" t="s">
        <v>33</v>
      </c>
      <c r="C21" s="43">
        <v>22.529499999999999</v>
      </c>
      <c r="D21" s="43">
        <v>23.538499999999999</v>
      </c>
      <c r="E21" s="43">
        <v>24.593</v>
      </c>
      <c r="F21" s="43">
        <v>25.706700000000001</v>
      </c>
      <c r="G21" s="47">
        <v>25.872599999999998</v>
      </c>
      <c r="J21" s="58"/>
      <c r="K21" s="58"/>
      <c r="L21" s="58"/>
    </row>
    <row r="22" spans="1:14" s="45" customFormat="1">
      <c r="A22" s="39"/>
      <c r="B22" s="41" t="s">
        <v>34</v>
      </c>
      <c r="C22" s="39"/>
      <c r="D22" s="39"/>
      <c r="E22" s="39"/>
      <c r="F22" s="39"/>
      <c r="G22" s="44"/>
      <c r="J22" s="58"/>
      <c r="K22" s="58"/>
      <c r="L22" s="58"/>
    </row>
    <row r="23" spans="1:14" s="45" customFormat="1">
      <c r="A23" s="39"/>
      <c r="B23" s="41" t="s">
        <v>36</v>
      </c>
      <c r="C23" s="39"/>
      <c r="D23" s="39"/>
      <c r="E23" s="39"/>
      <c r="F23" s="39"/>
      <c r="G23" s="39"/>
      <c r="J23" s="58"/>
      <c r="K23" s="58"/>
      <c r="L23" s="58"/>
    </row>
    <row r="24" spans="1:14" s="45" customFormat="1">
      <c r="A24" s="49"/>
      <c r="B24" s="41"/>
      <c r="C24" s="39"/>
      <c r="D24" s="39"/>
      <c r="E24" s="39"/>
      <c r="F24" s="39"/>
      <c r="G24" s="39"/>
      <c r="J24" s="58"/>
      <c r="K24" s="58"/>
      <c r="L24" s="58"/>
    </row>
    <row r="25" spans="1:14" s="45" customFormat="1">
      <c r="A25" s="49">
        <v>5</v>
      </c>
      <c r="B25" s="41" t="s">
        <v>38</v>
      </c>
      <c r="C25" s="47">
        <f t="shared" ref="C25:G25" si="4">C26*2080</f>
        <v>47077.472000000002</v>
      </c>
      <c r="D25" s="47">
        <f t="shared" si="4"/>
        <v>49164.128000000004</v>
      </c>
      <c r="E25" s="47">
        <f t="shared" si="4"/>
        <v>51412.608</v>
      </c>
      <c r="F25" s="47">
        <f t="shared" si="4"/>
        <v>53724.32</v>
      </c>
      <c r="G25" s="47">
        <f t="shared" si="4"/>
        <v>56164.992000000006</v>
      </c>
      <c r="J25" s="58"/>
      <c r="K25" s="58"/>
      <c r="L25" s="58"/>
    </row>
    <row r="26" spans="1:14" s="45" customFormat="1">
      <c r="A26" s="49"/>
      <c r="B26" s="41"/>
      <c r="C26" s="47">
        <v>22.633400000000002</v>
      </c>
      <c r="D26" s="47">
        <v>23.636600000000001</v>
      </c>
      <c r="E26" s="47">
        <v>24.717600000000001</v>
      </c>
      <c r="F26" s="47">
        <v>25.829000000000001</v>
      </c>
      <c r="G26" s="47">
        <v>27.002400000000002</v>
      </c>
      <c r="J26" s="58"/>
      <c r="K26" s="58"/>
      <c r="L26" s="58"/>
    </row>
    <row r="27" spans="1:14" s="45" customFormat="1">
      <c r="A27" s="39"/>
      <c r="B27" s="41"/>
      <c r="C27" s="39"/>
      <c r="D27" s="39"/>
      <c r="E27" s="39"/>
      <c r="F27" s="39"/>
      <c r="G27" s="39"/>
      <c r="J27" s="58"/>
      <c r="K27" s="58"/>
      <c r="L27" s="58"/>
    </row>
    <row r="28" spans="1:14" s="45" customFormat="1">
      <c r="A28" s="40">
        <v>6</v>
      </c>
      <c r="B28" s="41" t="s">
        <v>39</v>
      </c>
      <c r="C28" s="42">
        <f t="shared" ref="C28:F28" si="5">+C29*2080</f>
        <v>50745.343999999997</v>
      </c>
      <c r="D28" s="42">
        <f t="shared" si="5"/>
        <v>53062.879999999997</v>
      </c>
      <c r="E28" s="42">
        <f t="shared" si="5"/>
        <v>55381.664000000004</v>
      </c>
      <c r="F28" s="42">
        <f t="shared" si="5"/>
        <v>57918.015999999996</v>
      </c>
      <c r="G28" s="50">
        <f>G29*2080</f>
        <v>58638.736000000004</v>
      </c>
      <c r="J28" s="58"/>
      <c r="K28" s="58"/>
      <c r="L28" s="58"/>
    </row>
    <row r="29" spans="1:14" s="45" customFormat="1">
      <c r="A29" s="39"/>
      <c r="B29" s="39"/>
      <c r="C29" s="43">
        <v>24.396799999999999</v>
      </c>
      <c r="D29" s="43">
        <v>25.510999999999999</v>
      </c>
      <c r="E29" s="43">
        <v>26.625800000000002</v>
      </c>
      <c r="F29" s="43">
        <v>27.845199999999998</v>
      </c>
      <c r="G29" s="50">
        <v>28.191700000000001</v>
      </c>
      <c r="J29" s="58"/>
      <c r="K29" s="58"/>
      <c r="L29" s="58"/>
    </row>
    <row r="30" spans="1:14" s="45" customFormat="1">
      <c r="A30" s="39"/>
      <c r="B30" s="39"/>
      <c r="C30" s="44"/>
      <c r="D30" s="44"/>
      <c r="E30" s="44"/>
      <c r="F30" s="44"/>
      <c r="G30" s="44"/>
      <c r="H30" s="44"/>
      <c r="K30" s="58"/>
      <c r="L30" s="58"/>
      <c r="M30" s="58"/>
    </row>
    <row r="31" spans="1:14" s="45" customFormat="1">
      <c r="A31" s="31" t="s">
        <v>0</v>
      </c>
      <c r="B31" s="31"/>
      <c r="C31" s="31"/>
      <c r="D31" s="31"/>
      <c r="E31" s="31"/>
      <c r="F31" s="31"/>
      <c r="G31" s="31"/>
      <c r="H31" s="31"/>
      <c r="L31" s="58"/>
      <c r="M31" s="58"/>
      <c r="N31" s="58"/>
    </row>
    <row r="32" spans="1:14" s="45" customFormat="1">
      <c r="A32" s="32" t="s">
        <v>1</v>
      </c>
      <c r="B32" s="31"/>
      <c r="C32" s="31"/>
      <c r="D32" s="31"/>
      <c r="E32" s="31"/>
      <c r="F32" s="31"/>
      <c r="G32" s="31"/>
      <c r="H32" s="31"/>
      <c r="L32" s="58"/>
      <c r="M32" s="58"/>
      <c r="N32" s="58"/>
    </row>
    <row r="33" spans="1:14" s="45" customFormat="1" ht="15.75" thickBot="1">
      <c r="A33" s="61" t="s">
        <v>79</v>
      </c>
      <c r="B33" s="61"/>
      <c r="C33" s="61"/>
      <c r="D33" s="61"/>
      <c r="E33" s="61"/>
      <c r="F33" s="61"/>
      <c r="G33" s="61"/>
      <c r="H33" s="61"/>
      <c r="I33" s="59"/>
      <c r="L33" s="58"/>
      <c r="M33" s="58"/>
      <c r="N33" s="58"/>
    </row>
    <row r="34" spans="1:14" s="45" customFormat="1">
      <c r="A34" s="33" t="s">
        <v>3</v>
      </c>
      <c r="B34" s="34"/>
      <c r="C34" s="34"/>
      <c r="D34" s="34"/>
      <c r="E34" s="34"/>
      <c r="F34" s="34"/>
      <c r="G34" s="34"/>
      <c r="H34" s="35"/>
      <c r="K34" s="58"/>
      <c r="L34" s="58"/>
      <c r="M34" s="58"/>
    </row>
    <row r="35" spans="1:14" s="45" customFormat="1" ht="15.75" thickBot="1">
      <c r="A35" s="36" t="s">
        <v>4</v>
      </c>
      <c r="B35" s="37" t="s">
        <v>5</v>
      </c>
      <c r="C35" s="37" t="s">
        <v>63</v>
      </c>
      <c r="D35" s="37" t="s">
        <v>64</v>
      </c>
      <c r="E35" s="37" t="s">
        <v>65</v>
      </c>
      <c r="F35" s="37" t="s">
        <v>66</v>
      </c>
      <c r="G35" s="37" t="s">
        <v>67</v>
      </c>
      <c r="H35" s="38"/>
      <c r="K35" s="58"/>
      <c r="L35" s="58"/>
      <c r="M35" s="58"/>
    </row>
    <row r="36" spans="1:14" s="45" customFormat="1" ht="35.25" customHeight="1">
      <c r="A36" s="49">
        <v>7</v>
      </c>
      <c r="B36" s="41" t="s">
        <v>60</v>
      </c>
      <c r="C36" s="51">
        <f t="shared" ref="C36:F36" si="6">+C37*2080</f>
        <v>51403.248</v>
      </c>
      <c r="D36" s="51">
        <f t="shared" si="6"/>
        <v>53752.4</v>
      </c>
      <c r="E36" s="51">
        <f t="shared" si="6"/>
        <v>56195.775999999998</v>
      </c>
      <c r="F36" s="51">
        <f t="shared" si="6"/>
        <v>58765.408000000003</v>
      </c>
      <c r="G36" s="52">
        <f>G37*2080</f>
        <v>59548.32</v>
      </c>
      <c r="J36" s="58"/>
      <c r="K36" s="58"/>
      <c r="L36" s="58"/>
    </row>
    <row r="37" spans="1:14" s="45" customFormat="1">
      <c r="A37" s="39"/>
      <c r="B37" s="41" t="s">
        <v>61</v>
      </c>
      <c r="C37" s="51">
        <v>24.713100000000001</v>
      </c>
      <c r="D37" s="51">
        <v>25.842500000000001</v>
      </c>
      <c r="E37" s="51">
        <v>27.017199999999999</v>
      </c>
      <c r="F37" s="51">
        <v>28.252600000000001</v>
      </c>
      <c r="G37" s="51">
        <v>28.629000000000001</v>
      </c>
      <c r="J37" s="58"/>
      <c r="K37" s="58"/>
      <c r="L37" s="58"/>
    </row>
    <row r="38" spans="1:14" s="45" customFormat="1">
      <c r="A38" s="39"/>
      <c r="B38" s="41" t="s">
        <v>77</v>
      </c>
      <c r="C38" s="51"/>
      <c r="D38" s="51"/>
      <c r="E38" s="51"/>
      <c r="F38" s="51"/>
      <c r="G38" s="51"/>
      <c r="J38" s="58"/>
      <c r="K38" s="58"/>
      <c r="L38" s="58"/>
    </row>
    <row r="39" spans="1:14" s="45" customFormat="1">
      <c r="A39" s="39"/>
      <c r="B39" s="41"/>
      <c r="C39" s="51"/>
      <c r="D39" s="51"/>
      <c r="E39" s="51"/>
      <c r="F39" s="51"/>
      <c r="G39" s="51"/>
      <c r="J39" s="58"/>
      <c r="K39" s="58"/>
      <c r="L39" s="58"/>
    </row>
    <row r="40" spans="1:14" s="45" customFormat="1">
      <c r="A40" s="49">
        <v>8</v>
      </c>
      <c r="B40" s="41" t="s">
        <v>43</v>
      </c>
      <c r="C40" s="51">
        <f t="shared" ref="C40:F40" si="7">+C41*2080</f>
        <v>52811.824000000001</v>
      </c>
      <c r="D40" s="51">
        <f t="shared" si="7"/>
        <v>55224.207999999999</v>
      </c>
      <c r="E40" s="51">
        <f t="shared" si="7"/>
        <v>57729.983999999997</v>
      </c>
      <c r="F40" s="51">
        <f t="shared" si="7"/>
        <v>60393.216</v>
      </c>
      <c r="G40" s="52">
        <f>G41*2080</f>
        <v>61240.191999999995</v>
      </c>
      <c r="J40" s="58"/>
      <c r="K40" s="58"/>
      <c r="L40" s="58"/>
    </row>
    <row r="41" spans="1:14" s="45" customFormat="1">
      <c r="A41" s="41"/>
      <c r="B41" s="41"/>
      <c r="C41" s="51">
        <v>25.3903</v>
      </c>
      <c r="D41" s="51">
        <v>26.5501</v>
      </c>
      <c r="E41" s="51">
        <v>27.754799999999999</v>
      </c>
      <c r="F41" s="51">
        <v>29.0352</v>
      </c>
      <c r="G41" s="51">
        <v>29.442399999999999</v>
      </c>
      <c r="J41" s="58"/>
      <c r="K41" s="58"/>
      <c r="L41" s="58"/>
    </row>
    <row r="42" spans="1:14" s="45" customFormat="1">
      <c r="C42" s="53"/>
      <c r="D42" s="53"/>
      <c r="E42" s="53"/>
      <c r="F42" s="53"/>
      <c r="G42" s="53"/>
      <c r="J42" s="58"/>
      <c r="K42" s="58"/>
      <c r="L42" s="58"/>
    </row>
    <row r="43" spans="1:14" s="45" customFormat="1">
      <c r="A43" s="40">
        <v>9</v>
      </c>
      <c r="B43" s="41" t="s">
        <v>46</v>
      </c>
      <c r="C43" s="42">
        <f>C44*2080</f>
        <v>51307.984000000004</v>
      </c>
      <c r="D43" s="51">
        <f t="shared" ref="D43:G43" si="8">+D44*2080</f>
        <v>53752.4</v>
      </c>
      <c r="E43" s="51">
        <f t="shared" si="8"/>
        <v>56383.808000000005</v>
      </c>
      <c r="F43" s="51">
        <f t="shared" si="8"/>
        <v>59078.655999999995</v>
      </c>
      <c r="G43" s="51">
        <f t="shared" si="8"/>
        <v>61990.240000000005</v>
      </c>
      <c r="H43" s="51"/>
      <c r="J43" s="58"/>
      <c r="K43" s="58"/>
    </row>
    <row r="44" spans="1:14" s="45" customFormat="1">
      <c r="A44" s="41"/>
      <c r="B44" s="39"/>
      <c r="C44" s="47">
        <v>24.667300000000001</v>
      </c>
      <c r="D44" s="51">
        <v>25.842500000000001</v>
      </c>
      <c r="E44" s="51">
        <v>27.107600000000001</v>
      </c>
      <c r="F44" s="51">
        <v>28.403199999999998</v>
      </c>
      <c r="G44" s="51">
        <v>29.803000000000001</v>
      </c>
      <c r="H44" s="51"/>
      <c r="J44" s="58"/>
      <c r="K44" s="58"/>
    </row>
    <row r="45" spans="1:14" s="45" customFormat="1">
      <c r="C45" s="41"/>
      <c r="D45" s="54"/>
      <c r="E45" s="54"/>
      <c r="F45" s="54"/>
      <c r="G45" s="54"/>
      <c r="H45" s="53"/>
      <c r="J45" s="58"/>
      <c r="K45" s="58"/>
    </row>
    <row r="46" spans="1:14" s="45" customFormat="1">
      <c r="A46" s="40">
        <v>10</v>
      </c>
      <c r="B46" s="41" t="s">
        <v>47</v>
      </c>
      <c r="C46" s="42">
        <f>C47*2080</f>
        <v>51560.288</v>
      </c>
      <c r="D46" s="51">
        <f t="shared" ref="D46:G46" si="9">+D47*2080</f>
        <v>55163.68</v>
      </c>
      <c r="E46" s="51">
        <f t="shared" si="9"/>
        <v>57761.807999999997</v>
      </c>
      <c r="F46" s="51">
        <f t="shared" si="9"/>
        <v>60455.408000000003</v>
      </c>
      <c r="G46" s="51">
        <f t="shared" si="9"/>
        <v>63369.488000000005</v>
      </c>
      <c r="H46" s="51"/>
      <c r="J46" s="58"/>
      <c r="K46" s="58"/>
    </row>
    <row r="47" spans="1:14" s="45" customFormat="1">
      <c r="A47" s="39"/>
      <c r="B47" s="39"/>
      <c r="C47" s="47">
        <v>24.788599999999999</v>
      </c>
      <c r="D47" s="51">
        <v>26.521000000000001</v>
      </c>
      <c r="E47" s="51">
        <v>27.770099999999999</v>
      </c>
      <c r="F47" s="51">
        <v>29.065100000000001</v>
      </c>
      <c r="G47" s="51">
        <v>30.466100000000001</v>
      </c>
      <c r="H47" s="51"/>
      <c r="J47" s="58"/>
      <c r="K47" s="58"/>
    </row>
    <row r="48" spans="1:14" s="45" customFormat="1">
      <c r="C48" s="51"/>
      <c r="D48" s="51"/>
      <c r="E48" s="54"/>
      <c r="F48" s="54"/>
      <c r="G48" s="54"/>
      <c r="J48" s="58"/>
      <c r="K48" s="58"/>
      <c r="L48" s="58"/>
    </row>
    <row r="49" spans="1:12" s="45" customFormat="1">
      <c r="A49" s="40">
        <v>11</v>
      </c>
      <c r="B49" s="41" t="s">
        <v>70</v>
      </c>
      <c r="C49" s="51">
        <f t="shared" ref="C49:F49" si="10">+C50*2080</f>
        <v>55068</v>
      </c>
      <c r="D49" s="51">
        <f t="shared" si="10"/>
        <v>57575.231999999996</v>
      </c>
      <c r="E49" s="51">
        <f t="shared" si="10"/>
        <v>60206.224000000002</v>
      </c>
      <c r="F49" s="51">
        <f t="shared" si="10"/>
        <v>62962.64</v>
      </c>
      <c r="G49" s="52">
        <f>G50*2080</f>
        <v>63996.816000000006</v>
      </c>
      <c r="J49" s="58"/>
      <c r="K49" s="58"/>
      <c r="L49" s="58"/>
    </row>
    <row r="50" spans="1:12" s="45" customFormat="1">
      <c r="B50" s="41" t="s">
        <v>49</v>
      </c>
      <c r="C50" s="51">
        <v>26.475000000000001</v>
      </c>
      <c r="D50" s="51">
        <v>27.680399999999999</v>
      </c>
      <c r="E50" s="51">
        <v>28.9453</v>
      </c>
      <c r="F50" s="51">
        <v>30.270499999999998</v>
      </c>
      <c r="G50" s="51">
        <v>30.767700000000001</v>
      </c>
      <c r="J50" s="58"/>
      <c r="K50" s="58"/>
      <c r="L50" s="58"/>
    </row>
    <row r="51" spans="1:12" s="45" customFormat="1">
      <c r="A51" s="39"/>
      <c r="C51" s="54"/>
      <c r="D51" s="54"/>
      <c r="E51" s="54"/>
      <c r="F51" s="54"/>
      <c r="G51" s="54"/>
      <c r="J51" s="58"/>
      <c r="K51" s="58"/>
      <c r="L51" s="58"/>
    </row>
    <row r="52" spans="1:12" s="45" customFormat="1">
      <c r="A52" s="40">
        <v>12</v>
      </c>
      <c r="B52" s="41" t="s">
        <v>50</v>
      </c>
      <c r="C52" s="51">
        <f t="shared" ref="C52:F52" si="11">+C53*2080</f>
        <v>55631.887999999999</v>
      </c>
      <c r="D52" s="51">
        <f t="shared" si="11"/>
        <v>57854.992000000006</v>
      </c>
      <c r="E52" s="51">
        <f t="shared" si="11"/>
        <v>60206.224000000002</v>
      </c>
      <c r="F52" s="51">
        <f t="shared" si="11"/>
        <v>62523.76</v>
      </c>
      <c r="G52" s="52">
        <f>G53*2080</f>
        <v>64841.296000000002</v>
      </c>
      <c r="J52" s="58"/>
      <c r="K52" s="58"/>
      <c r="L52" s="58"/>
    </row>
    <row r="53" spans="1:12" s="45" customFormat="1">
      <c r="A53" s="55"/>
      <c r="B53" s="39"/>
      <c r="C53" s="51">
        <v>26.746099999999998</v>
      </c>
      <c r="D53" s="51">
        <v>27.814900000000002</v>
      </c>
      <c r="E53" s="51">
        <v>28.9453</v>
      </c>
      <c r="F53" s="51">
        <v>30.0595</v>
      </c>
      <c r="G53" s="51">
        <v>31.1737</v>
      </c>
      <c r="J53" s="58"/>
      <c r="K53" s="58"/>
      <c r="L53" s="58"/>
    </row>
    <row r="54" spans="1:12" s="45" customFormat="1">
      <c r="A54" s="40">
        <v>13</v>
      </c>
      <c r="B54" s="41" t="s">
        <v>51</v>
      </c>
      <c r="C54" s="54"/>
      <c r="D54" s="54"/>
      <c r="E54" s="54"/>
      <c r="F54" s="54"/>
      <c r="G54" s="54"/>
      <c r="J54" s="58"/>
      <c r="K54" s="58"/>
      <c r="L54" s="58"/>
    </row>
    <row r="55" spans="1:12" s="45" customFormat="1">
      <c r="B55" s="41" t="s">
        <v>52</v>
      </c>
      <c r="C55" s="51">
        <f t="shared" ref="C55:F55" si="12">+C56*2080</f>
        <v>57103.904000000002</v>
      </c>
      <c r="D55" s="51">
        <f t="shared" si="12"/>
        <v>59204.08</v>
      </c>
      <c r="E55" s="51">
        <f t="shared" si="12"/>
        <v>61364.575999999994</v>
      </c>
      <c r="F55" s="51">
        <f t="shared" si="12"/>
        <v>63557.52</v>
      </c>
      <c r="G55" s="52">
        <f>G56*2080</f>
        <v>65687.024000000005</v>
      </c>
      <c r="J55" s="58"/>
      <c r="K55" s="58"/>
      <c r="L55" s="58"/>
    </row>
    <row r="56" spans="1:12" s="45" customFormat="1">
      <c r="A56" s="55"/>
      <c r="B56" s="41" t="s">
        <v>53</v>
      </c>
      <c r="C56" s="51">
        <v>27.453800000000001</v>
      </c>
      <c r="D56" s="51">
        <v>28.4635</v>
      </c>
      <c r="E56" s="51">
        <v>29.502199999999998</v>
      </c>
      <c r="F56" s="51">
        <v>30.5565</v>
      </c>
      <c r="G56" s="51">
        <v>31.580300000000001</v>
      </c>
      <c r="J56" s="58"/>
      <c r="K56" s="58"/>
      <c r="L56" s="58"/>
    </row>
    <row r="57" spans="1:12" s="45" customFormat="1">
      <c r="A57" s="55"/>
      <c r="B57" s="39"/>
      <c r="C57" s="51"/>
      <c r="D57" s="51"/>
      <c r="E57" s="51"/>
      <c r="F57" s="51"/>
      <c r="G57" s="51"/>
      <c r="J57" s="58"/>
      <c r="K57" s="58"/>
      <c r="L57" s="58"/>
    </row>
    <row r="58" spans="1:12" s="45" customFormat="1">
      <c r="A58" s="40">
        <v>14</v>
      </c>
      <c r="B58" s="41" t="s">
        <v>57</v>
      </c>
      <c r="C58" s="51">
        <f t="shared" ref="C58:F58" si="13">+C59*2080</f>
        <v>59987.199999999997</v>
      </c>
      <c r="D58" s="51">
        <f t="shared" si="13"/>
        <v>62712</v>
      </c>
      <c r="E58" s="51">
        <f t="shared" si="13"/>
        <v>65625.872000000003</v>
      </c>
      <c r="F58" s="51">
        <f t="shared" si="13"/>
        <v>68694.703999999998</v>
      </c>
      <c r="G58" s="52">
        <f>G59*2080</f>
        <v>70104.944000000003</v>
      </c>
      <c r="J58" s="58"/>
      <c r="K58" s="58"/>
      <c r="L58" s="58"/>
    </row>
    <row r="59" spans="1:12" s="45" customFormat="1">
      <c r="A59" s="39"/>
      <c r="B59" s="41" t="s">
        <v>58</v>
      </c>
      <c r="C59" s="51">
        <v>28.84</v>
      </c>
      <c r="D59" s="51">
        <v>30.15</v>
      </c>
      <c r="E59" s="51">
        <v>31.550899999999999</v>
      </c>
      <c r="F59" s="51">
        <v>33.026299999999999</v>
      </c>
      <c r="G59" s="56">
        <v>33.704300000000003</v>
      </c>
      <c r="J59" s="58"/>
      <c r="K59" s="58"/>
      <c r="L59" s="58"/>
    </row>
    <row r="60" spans="1:12">
      <c r="A60" s="11"/>
      <c r="B60" s="41" t="s">
        <v>72</v>
      </c>
      <c r="C60" s="11"/>
      <c r="D60" s="11"/>
      <c r="E60" s="11"/>
      <c r="F60" s="11"/>
      <c r="G60" s="11"/>
      <c r="J60" s="19"/>
      <c r="K60" s="19"/>
      <c r="L60" s="19"/>
    </row>
  </sheetData>
  <mergeCells count="2">
    <mergeCell ref="A3:H3"/>
    <mergeCell ref="A33:H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2BBB0-65E8-4D9F-B2BF-23436316AC17}">
  <dimension ref="A1:N60"/>
  <sheetViews>
    <sheetView tabSelected="1" topLeftCell="A18" workbookViewId="0">
      <selection activeCell="A3" sqref="A3:H3"/>
    </sheetView>
  </sheetViews>
  <sheetFormatPr defaultRowHeight="15"/>
  <cols>
    <col min="1" max="1" width="7.88671875" bestFit="1" customWidth="1"/>
    <col min="2" max="2" width="27.44140625" bestFit="1" customWidth="1"/>
    <col min="3" max="7" width="11.44140625" bestFit="1" customWidth="1"/>
  </cols>
  <sheetData>
    <row r="1" spans="1:14" s="45" customFormat="1">
      <c r="A1" s="31" t="s">
        <v>0</v>
      </c>
      <c r="B1" s="31"/>
      <c r="C1" s="31"/>
      <c r="D1" s="31"/>
      <c r="E1" s="31"/>
      <c r="F1" s="31"/>
      <c r="G1" s="31"/>
      <c r="H1" s="31"/>
      <c r="L1" s="58"/>
      <c r="M1" s="58"/>
      <c r="N1" s="58"/>
    </row>
    <row r="2" spans="1:14" s="45" customFormat="1">
      <c r="A2" s="32" t="s">
        <v>1</v>
      </c>
      <c r="B2" s="31"/>
      <c r="C2" s="31"/>
      <c r="D2" s="31"/>
      <c r="E2" s="31"/>
      <c r="F2" s="31"/>
      <c r="G2" s="31"/>
      <c r="H2" s="31"/>
      <c r="L2" s="58"/>
      <c r="M2" s="58"/>
      <c r="N2" s="58"/>
    </row>
    <row r="3" spans="1:14" s="45" customFormat="1" ht="15.75" thickBot="1">
      <c r="A3" s="61" t="s">
        <v>78</v>
      </c>
      <c r="B3" s="61"/>
      <c r="C3" s="61"/>
      <c r="D3" s="61"/>
      <c r="E3" s="61"/>
      <c r="F3" s="61"/>
      <c r="G3" s="61"/>
      <c r="H3" s="61"/>
      <c r="L3" s="58"/>
      <c r="M3" s="58"/>
      <c r="N3" s="58"/>
    </row>
    <row r="4" spans="1:14" s="45" customFormat="1">
      <c r="A4" s="33" t="s">
        <v>3</v>
      </c>
      <c r="B4" s="34"/>
      <c r="C4" s="34"/>
      <c r="D4" s="34"/>
      <c r="E4" s="34"/>
      <c r="F4" s="34"/>
      <c r="G4" s="34"/>
      <c r="H4" s="35"/>
      <c r="J4" s="58"/>
      <c r="K4" s="58"/>
      <c r="L4" s="58"/>
    </row>
    <row r="5" spans="1:14" s="45" customFormat="1" ht="15.75" thickBot="1">
      <c r="A5" s="36" t="s">
        <v>4</v>
      </c>
      <c r="B5" s="37" t="s">
        <v>5</v>
      </c>
      <c r="C5" s="37" t="s">
        <v>63</v>
      </c>
      <c r="D5" s="37" t="s">
        <v>64</v>
      </c>
      <c r="E5" s="37" t="s">
        <v>65</v>
      </c>
      <c r="F5" s="37" t="s">
        <v>66</v>
      </c>
      <c r="G5" s="37" t="s">
        <v>67</v>
      </c>
      <c r="H5" s="38"/>
      <c r="J5" s="58"/>
      <c r="K5" s="58"/>
      <c r="L5" s="58"/>
    </row>
    <row r="6" spans="1:14" s="45" customFormat="1">
      <c r="A6" s="39"/>
      <c r="B6" s="39"/>
      <c r="C6" s="39"/>
      <c r="D6" s="39"/>
      <c r="E6" s="39"/>
      <c r="F6" s="39"/>
      <c r="G6" s="39"/>
      <c r="H6" s="39"/>
      <c r="J6" s="58"/>
      <c r="K6" s="58"/>
      <c r="L6" s="58"/>
    </row>
    <row r="7" spans="1:14" s="45" customFormat="1">
      <c r="A7" s="40">
        <v>1</v>
      </c>
      <c r="B7" s="41" t="s">
        <v>18</v>
      </c>
      <c r="C7" s="42">
        <f t="shared" ref="C7:G7" si="0">+C8*2080</f>
        <v>41353.935999999994</v>
      </c>
      <c r="D7" s="42">
        <f t="shared" si="0"/>
        <v>43152.304000000004</v>
      </c>
      <c r="E7" s="42">
        <f t="shared" si="0"/>
        <v>45047.392</v>
      </c>
      <c r="F7" s="42">
        <f t="shared" si="0"/>
        <v>46910.240000000005</v>
      </c>
      <c r="G7" s="42">
        <f t="shared" si="0"/>
        <v>46910.240000000005</v>
      </c>
      <c r="I7" s="58"/>
      <c r="J7" s="58"/>
      <c r="K7" s="58"/>
    </row>
    <row r="8" spans="1:14" s="45" customFormat="1">
      <c r="A8" s="39"/>
      <c r="B8" s="41" t="s">
        <v>19</v>
      </c>
      <c r="C8" s="43">
        <v>19.881699999999999</v>
      </c>
      <c r="D8" s="43">
        <v>20.746300000000002</v>
      </c>
      <c r="E8" s="43">
        <v>21.657399999999999</v>
      </c>
      <c r="F8" s="43">
        <v>22.553000000000001</v>
      </c>
      <c r="G8" s="43">
        <v>22.553000000000001</v>
      </c>
      <c r="J8" s="58"/>
      <c r="K8" s="58"/>
      <c r="L8" s="58"/>
    </row>
    <row r="9" spans="1:14" s="45" customFormat="1">
      <c r="A9" s="39"/>
      <c r="B9" s="41" t="s">
        <v>68</v>
      </c>
      <c r="C9" s="39"/>
      <c r="D9" s="39"/>
      <c r="E9" s="39"/>
      <c r="F9" s="39"/>
      <c r="G9" s="39"/>
      <c r="J9" s="58"/>
      <c r="K9" s="58"/>
      <c r="L9" s="58"/>
    </row>
    <row r="10" spans="1:14" s="45" customFormat="1">
      <c r="A10" s="39"/>
      <c r="B10" s="41" t="s">
        <v>69</v>
      </c>
      <c r="C10" s="39"/>
      <c r="D10" s="39"/>
      <c r="E10" s="39"/>
      <c r="F10" s="39"/>
      <c r="G10" s="39"/>
      <c r="J10" s="58"/>
      <c r="K10" s="58"/>
      <c r="L10" s="58"/>
    </row>
    <row r="11" spans="1:14" s="45" customFormat="1">
      <c r="A11" s="39"/>
      <c r="C11" s="46"/>
      <c r="D11" s="46"/>
      <c r="E11" s="39"/>
      <c r="F11" s="39"/>
      <c r="G11" s="39"/>
      <c r="J11" s="58"/>
      <c r="K11" s="58"/>
      <c r="L11" s="58"/>
    </row>
    <row r="12" spans="1:14" s="45" customFormat="1">
      <c r="A12" s="40">
        <v>2</v>
      </c>
      <c r="B12" s="41" t="s">
        <v>24</v>
      </c>
      <c r="C12" s="42">
        <f t="shared" ref="C12:F12" si="1">+C13*2080</f>
        <v>44468.944000000003</v>
      </c>
      <c r="D12" s="42">
        <f t="shared" si="1"/>
        <v>46459.087999999996</v>
      </c>
      <c r="E12" s="42">
        <f t="shared" si="1"/>
        <v>48514.336000000003</v>
      </c>
      <c r="F12" s="42">
        <f t="shared" si="1"/>
        <v>50729.951999999997</v>
      </c>
      <c r="G12" s="47">
        <f>G13*2080</f>
        <v>50825.840000000004</v>
      </c>
      <c r="J12" s="58"/>
      <c r="K12" s="58"/>
      <c r="L12" s="58"/>
    </row>
    <row r="13" spans="1:14" s="45" customFormat="1">
      <c r="A13" s="39"/>
      <c r="B13" s="41" t="s">
        <v>25</v>
      </c>
      <c r="C13" s="43">
        <v>21.379300000000001</v>
      </c>
      <c r="D13" s="43">
        <v>22.336099999999998</v>
      </c>
      <c r="E13" s="43">
        <v>23.324200000000001</v>
      </c>
      <c r="F13" s="43">
        <v>24.389399999999998</v>
      </c>
      <c r="G13" s="43">
        <v>24.435500000000001</v>
      </c>
      <c r="J13" s="58"/>
      <c r="K13" s="58"/>
      <c r="L13" s="58"/>
    </row>
    <row r="14" spans="1:14" s="45" customFormat="1">
      <c r="A14" s="39"/>
      <c r="B14" s="41" t="s">
        <v>26</v>
      </c>
      <c r="C14" s="39"/>
      <c r="D14" s="39"/>
      <c r="E14" s="39"/>
      <c r="F14" s="39"/>
      <c r="G14" s="39"/>
      <c r="J14" s="58"/>
      <c r="K14" s="58"/>
      <c r="L14" s="58"/>
    </row>
    <row r="15" spans="1:14" s="45" customFormat="1">
      <c r="A15" s="39"/>
      <c r="B15" s="41" t="s">
        <v>27</v>
      </c>
      <c r="C15" s="39"/>
      <c r="D15" s="39"/>
      <c r="E15" s="39"/>
      <c r="F15" s="39"/>
      <c r="G15" s="39"/>
      <c r="J15" s="58"/>
      <c r="K15" s="58"/>
      <c r="L15" s="58"/>
    </row>
    <row r="16" spans="1:14" s="45" customFormat="1">
      <c r="A16" s="39"/>
      <c r="C16" s="39"/>
      <c r="D16" s="39"/>
      <c r="E16" s="39"/>
      <c r="F16" s="39"/>
      <c r="G16" s="39"/>
      <c r="J16" s="58"/>
      <c r="K16" s="58"/>
      <c r="L16" s="58"/>
    </row>
    <row r="17" spans="1:14" s="45" customFormat="1">
      <c r="A17" s="40">
        <v>3</v>
      </c>
      <c r="B17" s="41" t="s">
        <v>31</v>
      </c>
      <c r="C17" s="42">
        <f t="shared" ref="C17:E17" si="2">+C18*2080</f>
        <v>46203.455999999998</v>
      </c>
      <c r="D17" s="42">
        <f t="shared" si="2"/>
        <v>48257.664000000004</v>
      </c>
      <c r="E17" s="42">
        <f t="shared" si="2"/>
        <v>50441.248</v>
      </c>
      <c r="F17" s="42">
        <f>F18*2080</f>
        <v>52688.271999999997</v>
      </c>
      <c r="G17" s="47">
        <f>G18*2080</f>
        <v>52912.288</v>
      </c>
      <c r="J17" s="58"/>
      <c r="K17" s="58"/>
      <c r="L17" s="58"/>
    </row>
    <row r="18" spans="1:14" s="45" customFormat="1">
      <c r="A18" s="39"/>
      <c r="B18" s="39"/>
      <c r="C18" s="43">
        <v>22.213200000000001</v>
      </c>
      <c r="D18" s="43">
        <v>23.200800000000001</v>
      </c>
      <c r="E18" s="43">
        <v>24.250599999999999</v>
      </c>
      <c r="F18" s="43">
        <v>25.3309</v>
      </c>
      <c r="G18" s="47">
        <v>25.438600000000001</v>
      </c>
      <c r="J18" s="58"/>
      <c r="K18" s="58"/>
      <c r="L18" s="58"/>
    </row>
    <row r="19" spans="1:14" s="45" customFormat="1">
      <c r="A19" s="39"/>
      <c r="B19" s="39"/>
      <c r="C19" s="39"/>
      <c r="D19" s="39"/>
      <c r="E19" s="39"/>
      <c r="F19" s="39"/>
      <c r="G19" s="44"/>
      <c r="J19" s="58"/>
      <c r="K19" s="58"/>
      <c r="L19" s="58"/>
    </row>
    <row r="20" spans="1:14" s="45" customFormat="1">
      <c r="A20" s="40">
        <v>4</v>
      </c>
      <c r="B20" s="41" t="s">
        <v>32</v>
      </c>
      <c r="C20" s="42">
        <f t="shared" ref="C20:F20" si="3">+C21*2080</f>
        <v>48032.815999999999</v>
      </c>
      <c r="D20" s="42">
        <f t="shared" si="3"/>
        <v>50184.159999999996</v>
      </c>
      <c r="E20" s="42">
        <f t="shared" si="3"/>
        <v>52432.223999999995</v>
      </c>
      <c r="F20" s="42">
        <f t="shared" si="3"/>
        <v>54806.752</v>
      </c>
      <c r="G20" s="47">
        <f>G21*2080</f>
        <v>55160.351999999999</v>
      </c>
      <c r="J20" s="58"/>
      <c r="K20" s="58"/>
      <c r="L20" s="58"/>
    </row>
    <row r="21" spans="1:14" s="45" customFormat="1">
      <c r="A21" s="39"/>
      <c r="B21" s="41" t="s">
        <v>33</v>
      </c>
      <c r="C21" s="43">
        <v>23.092700000000001</v>
      </c>
      <c r="D21" s="43">
        <v>24.126999999999999</v>
      </c>
      <c r="E21" s="43">
        <v>25.207799999999999</v>
      </c>
      <c r="F21" s="43">
        <v>26.349399999999999</v>
      </c>
      <c r="G21" s="47">
        <v>26.519400000000001</v>
      </c>
      <c r="J21" s="58"/>
      <c r="K21" s="58"/>
      <c r="L21" s="58"/>
    </row>
    <row r="22" spans="1:14" s="45" customFormat="1">
      <c r="A22" s="39"/>
      <c r="B22" s="41" t="s">
        <v>34</v>
      </c>
      <c r="C22" s="39"/>
      <c r="D22" s="39"/>
      <c r="E22" s="39"/>
      <c r="F22" s="39"/>
      <c r="G22" s="44"/>
      <c r="J22" s="58"/>
      <c r="K22" s="58"/>
      <c r="L22" s="58"/>
    </row>
    <row r="23" spans="1:14" s="45" customFormat="1">
      <c r="A23" s="39"/>
      <c r="B23" s="41" t="s">
        <v>36</v>
      </c>
      <c r="C23" s="39"/>
      <c r="D23" s="39"/>
      <c r="E23" s="39"/>
      <c r="F23" s="39"/>
      <c r="G23" s="39"/>
      <c r="J23" s="58"/>
      <c r="K23" s="58"/>
      <c r="L23" s="58"/>
    </row>
    <row r="24" spans="1:14" s="45" customFormat="1">
      <c r="A24" s="49"/>
      <c r="B24" s="41"/>
      <c r="C24" s="39"/>
      <c r="D24" s="39"/>
      <c r="E24" s="39"/>
      <c r="F24" s="39"/>
      <c r="G24" s="39"/>
      <c r="J24" s="58"/>
      <c r="K24" s="58"/>
      <c r="L24" s="58"/>
    </row>
    <row r="25" spans="1:14" s="45" customFormat="1">
      <c r="A25" s="49">
        <v>5</v>
      </c>
      <c r="B25" s="41" t="s">
        <v>38</v>
      </c>
      <c r="C25" s="47">
        <f t="shared" ref="C25:G25" si="4">C26*2080</f>
        <v>48254.336000000003</v>
      </c>
      <c r="D25" s="47">
        <f t="shared" si="4"/>
        <v>50393.2</v>
      </c>
      <c r="E25" s="47">
        <f t="shared" si="4"/>
        <v>52697.84</v>
      </c>
      <c r="F25" s="47">
        <f t="shared" si="4"/>
        <v>55067.375999999997</v>
      </c>
      <c r="G25" s="47">
        <f t="shared" si="4"/>
        <v>57569.2</v>
      </c>
      <c r="J25" s="58"/>
      <c r="K25" s="58"/>
      <c r="L25" s="58"/>
    </row>
    <row r="26" spans="1:14" s="45" customFormat="1">
      <c r="A26" s="49"/>
      <c r="B26" s="41"/>
      <c r="C26" s="47">
        <v>23.199200000000001</v>
      </c>
      <c r="D26" s="47">
        <v>24.227499999999999</v>
      </c>
      <c r="E26" s="47">
        <v>25.3355</v>
      </c>
      <c r="F26" s="47">
        <v>26.474699999999999</v>
      </c>
      <c r="G26" s="47">
        <v>27.677499999999998</v>
      </c>
      <c r="J26" s="58"/>
      <c r="K26" s="58"/>
      <c r="L26" s="58"/>
    </row>
    <row r="27" spans="1:14" s="45" customFormat="1">
      <c r="A27" s="39"/>
      <c r="B27" s="41"/>
      <c r="C27" s="39"/>
      <c r="D27" s="39"/>
      <c r="E27" s="39"/>
      <c r="F27" s="39"/>
      <c r="G27" s="39"/>
      <c r="J27" s="58"/>
      <c r="K27" s="58"/>
      <c r="L27" s="58"/>
    </row>
    <row r="28" spans="1:14" s="45" customFormat="1">
      <c r="A28" s="40">
        <v>6</v>
      </c>
      <c r="B28" s="41" t="s">
        <v>39</v>
      </c>
      <c r="C28" s="42">
        <f t="shared" ref="C28:F28" si="5">+C29*2080</f>
        <v>52013.935999999994</v>
      </c>
      <c r="D28" s="42">
        <f t="shared" si="5"/>
        <v>54389.504000000001</v>
      </c>
      <c r="E28" s="42">
        <f t="shared" si="5"/>
        <v>56766.112000000001</v>
      </c>
      <c r="F28" s="42">
        <f t="shared" si="5"/>
        <v>59365.904000000002</v>
      </c>
      <c r="G28" s="50">
        <f>G29*2080</f>
        <v>60104.72</v>
      </c>
      <c r="J28" s="58"/>
      <c r="K28" s="58"/>
      <c r="L28" s="58"/>
    </row>
    <row r="29" spans="1:14" s="45" customFormat="1">
      <c r="A29" s="39"/>
      <c r="B29" s="39"/>
      <c r="C29" s="43">
        <v>25.006699999999999</v>
      </c>
      <c r="D29" s="43">
        <v>26.148800000000001</v>
      </c>
      <c r="E29" s="43">
        <v>27.291399999999999</v>
      </c>
      <c r="F29" s="43">
        <v>28.5413</v>
      </c>
      <c r="G29" s="50">
        <v>28.8965</v>
      </c>
      <c r="J29" s="58"/>
      <c r="K29" s="58"/>
      <c r="L29" s="58"/>
    </row>
    <row r="30" spans="1:14" s="45" customFormat="1">
      <c r="A30" s="39"/>
      <c r="B30" s="39"/>
      <c r="C30" s="44"/>
      <c r="D30" s="44"/>
      <c r="E30" s="44"/>
      <c r="F30" s="44"/>
      <c r="G30" s="44"/>
      <c r="H30" s="44"/>
      <c r="K30" s="58"/>
      <c r="L30" s="58"/>
      <c r="M30" s="58"/>
    </row>
    <row r="31" spans="1:14" s="45" customFormat="1">
      <c r="A31" s="31" t="s">
        <v>0</v>
      </c>
      <c r="B31" s="31"/>
      <c r="C31" s="31"/>
      <c r="D31" s="31"/>
      <c r="E31" s="31"/>
      <c r="F31" s="31"/>
      <c r="G31" s="31"/>
      <c r="H31" s="31"/>
      <c r="L31" s="58"/>
      <c r="M31" s="58"/>
      <c r="N31" s="58"/>
    </row>
    <row r="32" spans="1:14" s="45" customFormat="1">
      <c r="A32" s="32" t="s">
        <v>1</v>
      </c>
      <c r="B32" s="31"/>
      <c r="C32" s="31"/>
      <c r="D32" s="31"/>
      <c r="E32" s="31"/>
      <c r="F32" s="31"/>
      <c r="G32" s="31"/>
      <c r="H32" s="31"/>
      <c r="L32" s="58"/>
      <c r="M32" s="58"/>
      <c r="N32" s="58"/>
    </row>
    <row r="33" spans="1:14" s="45" customFormat="1" ht="15.75" thickBot="1">
      <c r="A33" s="61" t="s">
        <v>78</v>
      </c>
      <c r="B33" s="61"/>
      <c r="C33" s="61"/>
      <c r="D33" s="61"/>
      <c r="E33" s="61"/>
      <c r="F33" s="61"/>
      <c r="G33" s="61"/>
      <c r="H33" s="61"/>
      <c r="I33" s="59"/>
      <c r="L33" s="58"/>
      <c r="M33" s="58"/>
      <c r="N33" s="58"/>
    </row>
    <row r="34" spans="1:14" s="45" customFormat="1">
      <c r="A34" s="33" t="s">
        <v>3</v>
      </c>
      <c r="B34" s="34"/>
      <c r="C34" s="34"/>
      <c r="D34" s="34"/>
      <c r="E34" s="34"/>
      <c r="F34" s="34"/>
      <c r="G34" s="34"/>
      <c r="H34" s="35"/>
      <c r="K34" s="58"/>
      <c r="L34" s="58"/>
      <c r="M34" s="58"/>
    </row>
    <row r="35" spans="1:14" s="45" customFormat="1" ht="15.75" thickBot="1">
      <c r="A35" s="36" t="s">
        <v>4</v>
      </c>
      <c r="B35" s="37" t="s">
        <v>5</v>
      </c>
      <c r="C35" s="37" t="s">
        <v>63</v>
      </c>
      <c r="D35" s="37" t="s">
        <v>64</v>
      </c>
      <c r="E35" s="37" t="s">
        <v>65</v>
      </c>
      <c r="F35" s="37" t="s">
        <v>66</v>
      </c>
      <c r="G35" s="37" t="s">
        <v>67</v>
      </c>
      <c r="H35" s="38"/>
      <c r="K35" s="58"/>
      <c r="L35" s="58"/>
      <c r="M35" s="58"/>
    </row>
    <row r="36" spans="1:14" s="45" customFormat="1" ht="35.25" customHeight="1">
      <c r="A36" s="49">
        <v>7</v>
      </c>
      <c r="B36" s="41" t="s">
        <v>60</v>
      </c>
      <c r="C36" s="51">
        <f t="shared" ref="C36:F36" si="6">+C37*2080</f>
        <v>52688.271999999997</v>
      </c>
      <c r="D36" s="51">
        <f t="shared" si="6"/>
        <v>55096.288</v>
      </c>
      <c r="E36" s="51">
        <f t="shared" si="6"/>
        <v>57600.608</v>
      </c>
      <c r="F36" s="51">
        <f t="shared" si="6"/>
        <v>60234.512000000002</v>
      </c>
      <c r="G36" s="52">
        <f>G37*2080</f>
        <v>61036.976000000002</v>
      </c>
      <c r="J36" s="58"/>
      <c r="K36" s="58"/>
      <c r="L36" s="58"/>
    </row>
    <row r="37" spans="1:14" s="45" customFormat="1">
      <c r="A37" s="39"/>
      <c r="B37" s="41" t="s">
        <v>61</v>
      </c>
      <c r="C37" s="51">
        <v>25.3309</v>
      </c>
      <c r="D37" s="51">
        <v>26.488600000000002</v>
      </c>
      <c r="E37" s="51">
        <v>27.692599999999999</v>
      </c>
      <c r="F37" s="51">
        <v>28.9589</v>
      </c>
      <c r="G37" s="51">
        <v>29.3447</v>
      </c>
      <c r="J37" s="58"/>
      <c r="K37" s="58"/>
      <c r="L37" s="58"/>
    </row>
    <row r="38" spans="1:14" s="45" customFormat="1">
      <c r="A38" s="39"/>
      <c r="B38" s="41" t="s">
        <v>77</v>
      </c>
      <c r="C38" s="51"/>
      <c r="D38" s="51"/>
      <c r="E38" s="51"/>
      <c r="F38" s="51"/>
      <c r="G38" s="51"/>
      <c r="J38" s="58"/>
      <c r="K38" s="58"/>
      <c r="L38" s="58"/>
    </row>
    <row r="39" spans="1:14" s="45" customFormat="1">
      <c r="A39" s="39"/>
      <c r="B39" s="41"/>
      <c r="C39" s="51"/>
      <c r="D39" s="51"/>
      <c r="E39" s="51"/>
      <c r="F39" s="51"/>
      <c r="G39" s="51"/>
      <c r="J39" s="58"/>
      <c r="K39" s="58"/>
      <c r="L39" s="58"/>
    </row>
    <row r="40" spans="1:14" s="45" customFormat="1">
      <c r="A40" s="49">
        <v>8</v>
      </c>
      <c r="B40" s="41" t="s">
        <v>43</v>
      </c>
      <c r="C40" s="51">
        <f t="shared" ref="C40:F40" si="7">+C41*2080</f>
        <v>54132.207999999999</v>
      </c>
      <c r="D40" s="51">
        <f t="shared" si="7"/>
        <v>56604.911999999997</v>
      </c>
      <c r="E40" s="51">
        <f t="shared" si="7"/>
        <v>59173.295999999995</v>
      </c>
      <c r="F40" s="51">
        <f t="shared" si="7"/>
        <v>61903.087999999996</v>
      </c>
      <c r="G40" s="52">
        <f>G41*2080</f>
        <v>62771.28</v>
      </c>
      <c r="J40" s="58"/>
      <c r="K40" s="58"/>
      <c r="L40" s="58"/>
    </row>
    <row r="41" spans="1:14" s="45" customFormat="1">
      <c r="A41" s="41"/>
      <c r="B41" s="41"/>
      <c r="C41" s="51">
        <v>26.025099999999998</v>
      </c>
      <c r="D41" s="51">
        <v>27.213899999999999</v>
      </c>
      <c r="E41" s="51">
        <v>28.448699999999999</v>
      </c>
      <c r="F41" s="51">
        <v>29.761099999999999</v>
      </c>
      <c r="G41" s="51">
        <v>30.1785</v>
      </c>
      <c r="J41" s="58"/>
      <c r="K41" s="58"/>
      <c r="L41" s="58"/>
    </row>
    <row r="42" spans="1:14" s="45" customFormat="1">
      <c r="C42" s="53"/>
      <c r="D42" s="53"/>
      <c r="E42" s="53"/>
      <c r="F42" s="53"/>
      <c r="G42" s="53"/>
      <c r="J42" s="58"/>
      <c r="K42" s="58"/>
      <c r="L42" s="58"/>
    </row>
    <row r="43" spans="1:14" s="45" customFormat="1">
      <c r="A43" s="40">
        <v>9</v>
      </c>
      <c r="B43" s="41" t="s">
        <v>46</v>
      </c>
      <c r="C43" s="42">
        <f>C44*2080</f>
        <v>52590.720000000001</v>
      </c>
      <c r="D43" s="51">
        <f t="shared" ref="D43:G43" si="8">+D44*2080</f>
        <v>55096.288</v>
      </c>
      <c r="E43" s="51">
        <f t="shared" si="8"/>
        <v>57793.423999999999</v>
      </c>
      <c r="F43" s="51">
        <f t="shared" si="8"/>
        <v>60555.663999999997</v>
      </c>
      <c r="G43" s="51">
        <f t="shared" si="8"/>
        <v>63540.048000000003</v>
      </c>
      <c r="H43" s="51"/>
      <c r="J43" s="58"/>
      <c r="K43" s="58"/>
    </row>
    <row r="44" spans="1:14" s="45" customFormat="1">
      <c r="A44" s="41"/>
      <c r="B44" s="39"/>
      <c r="C44" s="47">
        <v>25.283999999999999</v>
      </c>
      <c r="D44" s="51">
        <v>26.488600000000002</v>
      </c>
      <c r="E44" s="51">
        <v>27.785299999999999</v>
      </c>
      <c r="F44" s="51">
        <v>29.113299999999999</v>
      </c>
      <c r="G44" s="51">
        <v>30.548100000000002</v>
      </c>
      <c r="H44" s="51"/>
      <c r="J44" s="58"/>
      <c r="K44" s="58"/>
    </row>
    <row r="45" spans="1:14" s="45" customFormat="1">
      <c r="C45" s="41"/>
      <c r="D45" s="54"/>
      <c r="E45" s="54"/>
      <c r="F45" s="54"/>
      <c r="G45" s="54"/>
      <c r="H45" s="53"/>
      <c r="J45" s="58"/>
      <c r="K45" s="58"/>
    </row>
    <row r="46" spans="1:14" s="45" customFormat="1">
      <c r="A46" s="40">
        <v>10</v>
      </c>
      <c r="B46" s="41" t="s">
        <v>47</v>
      </c>
      <c r="C46" s="42">
        <f>C47*2080</f>
        <v>52849.264000000003</v>
      </c>
      <c r="D46" s="51">
        <f t="shared" ref="D46:G46" si="9">+D47*2080</f>
        <v>56542.720000000001</v>
      </c>
      <c r="E46" s="51">
        <f t="shared" si="9"/>
        <v>59205.952000000005</v>
      </c>
      <c r="F46" s="51">
        <f t="shared" si="9"/>
        <v>61966.735999999997</v>
      </c>
      <c r="G46" s="51">
        <f t="shared" si="9"/>
        <v>64953.823999999993</v>
      </c>
      <c r="H46" s="51"/>
      <c r="J46" s="58"/>
      <c r="K46" s="58"/>
    </row>
    <row r="47" spans="1:14" s="45" customFormat="1">
      <c r="A47" s="39"/>
      <c r="B47" s="39"/>
      <c r="C47" s="47">
        <v>25.408300000000001</v>
      </c>
      <c r="D47" s="51">
        <v>27.184000000000001</v>
      </c>
      <c r="E47" s="51">
        <v>28.464400000000001</v>
      </c>
      <c r="F47" s="51">
        <v>29.791699999999999</v>
      </c>
      <c r="G47" s="51">
        <v>31.227799999999998</v>
      </c>
      <c r="H47" s="51"/>
      <c r="J47" s="58"/>
      <c r="K47" s="58"/>
    </row>
    <row r="48" spans="1:14" s="45" customFormat="1">
      <c r="C48" s="51"/>
      <c r="D48" s="51"/>
      <c r="E48" s="54"/>
      <c r="F48" s="54"/>
      <c r="G48" s="54"/>
      <c r="J48" s="58"/>
      <c r="K48" s="58"/>
      <c r="L48" s="58"/>
    </row>
    <row r="49" spans="1:12" s="45" customFormat="1">
      <c r="A49" s="40">
        <v>11</v>
      </c>
      <c r="B49" s="41" t="s">
        <v>70</v>
      </c>
      <c r="C49" s="51">
        <f t="shared" ref="C49:F49" si="10">+C50*2080</f>
        <v>56444.752</v>
      </c>
      <c r="D49" s="51">
        <f t="shared" si="10"/>
        <v>59014.591999999997</v>
      </c>
      <c r="E49" s="51">
        <f t="shared" si="10"/>
        <v>61711.311999999998</v>
      </c>
      <c r="F49" s="51">
        <f t="shared" si="10"/>
        <v>64536.784</v>
      </c>
      <c r="G49" s="52">
        <f>G50*2080</f>
        <v>65596.751999999993</v>
      </c>
      <c r="J49" s="58"/>
      <c r="K49" s="58"/>
      <c r="L49" s="58"/>
    </row>
    <row r="50" spans="1:12" s="45" customFormat="1">
      <c r="B50" s="41" t="s">
        <v>49</v>
      </c>
      <c r="C50" s="51">
        <v>27.136900000000001</v>
      </c>
      <c r="D50" s="51">
        <v>28.372399999999999</v>
      </c>
      <c r="E50" s="51">
        <v>29.668900000000001</v>
      </c>
      <c r="F50" s="51">
        <v>31.0273</v>
      </c>
      <c r="G50" s="51">
        <v>31.536899999999999</v>
      </c>
      <c r="J50" s="58"/>
      <c r="K50" s="58"/>
      <c r="L50" s="58"/>
    </row>
    <row r="51" spans="1:12" s="45" customFormat="1">
      <c r="A51" s="39"/>
      <c r="C51" s="54"/>
      <c r="D51" s="54"/>
      <c r="E51" s="54"/>
      <c r="F51" s="54"/>
      <c r="G51" s="54"/>
      <c r="J51" s="58"/>
      <c r="K51" s="58"/>
      <c r="L51" s="58"/>
    </row>
    <row r="52" spans="1:12" s="45" customFormat="1">
      <c r="A52" s="40">
        <v>12</v>
      </c>
      <c r="B52" s="41" t="s">
        <v>50</v>
      </c>
      <c r="C52" s="51">
        <f t="shared" ref="C52:F52" si="11">+C53*2080</f>
        <v>57022.784</v>
      </c>
      <c r="D52" s="51">
        <f t="shared" si="11"/>
        <v>59301.423999999999</v>
      </c>
      <c r="E52" s="51">
        <f t="shared" si="11"/>
        <v>61711.311999999998</v>
      </c>
      <c r="F52" s="51">
        <f t="shared" si="11"/>
        <v>64086.879999999997</v>
      </c>
      <c r="G52" s="52">
        <f>G53*2080</f>
        <v>66462.240000000005</v>
      </c>
      <c r="J52" s="58"/>
      <c r="K52" s="58"/>
      <c r="L52" s="58"/>
    </row>
    <row r="53" spans="1:12" s="45" customFormat="1">
      <c r="A53" s="55"/>
      <c r="B53" s="39"/>
      <c r="C53" s="51">
        <v>27.4148</v>
      </c>
      <c r="D53" s="51">
        <v>28.510300000000001</v>
      </c>
      <c r="E53" s="51">
        <v>29.668900000000001</v>
      </c>
      <c r="F53" s="51">
        <v>30.811</v>
      </c>
      <c r="G53" s="51">
        <v>31.952999999999999</v>
      </c>
      <c r="J53" s="58"/>
      <c r="K53" s="58"/>
      <c r="L53" s="58"/>
    </row>
    <row r="54" spans="1:12" s="45" customFormat="1">
      <c r="A54" s="40">
        <v>13</v>
      </c>
      <c r="B54" s="41" t="s">
        <v>51</v>
      </c>
      <c r="C54" s="54"/>
      <c r="D54" s="54"/>
      <c r="E54" s="54"/>
      <c r="F54" s="54"/>
      <c r="G54" s="54"/>
      <c r="J54" s="58"/>
      <c r="K54" s="58"/>
      <c r="L54" s="58"/>
    </row>
    <row r="55" spans="1:12" s="45" customFormat="1">
      <c r="B55" s="41" t="s">
        <v>52</v>
      </c>
      <c r="C55" s="51">
        <f t="shared" ref="C55:F55" si="12">+C56*2080</f>
        <v>58531.408000000003</v>
      </c>
      <c r="D55" s="51">
        <f t="shared" si="12"/>
        <v>60684.207999999999</v>
      </c>
      <c r="E55" s="51">
        <f t="shared" si="12"/>
        <v>62898.784</v>
      </c>
      <c r="F55" s="51">
        <f t="shared" si="12"/>
        <v>65146.432000000001</v>
      </c>
      <c r="G55" s="52">
        <f>G56*2080</f>
        <v>67329.183999999994</v>
      </c>
      <c r="J55" s="58"/>
      <c r="K55" s="58"/>
      <c r="L55" s="58"/>
    </row>
    <row r="56" spans="1:12" s="45" customFormat="1">
      <c r="A56" s="55"/>
      <c r="B56" s="41" t="s">
        <v>53</v>
      </c>
      <c r="C56" s="51">
        <v>28.1401</v>
      </c>
      <c r="D56" s="51">
        <v>29.1751</v>
      </c>
      <c r="E56" s="51">
        <v>30.239799999999999</v>
      </c>
      <c r="F56" s="51">
        <v>31.320399999999999</v>
      </c>
      <c r="G56" s="51">
        <v>32.369799999999998</v>
      </c>
      <c r="J56" s="58"/>
      <c r="K56" s="58"/>
      <c r="L56" s="58"/>
    </row>
    <row r="57" spans="1:12" s="45" customFormat="1">
      <c r="A57" s="55"/>
      <c r="B57" s="39"/>
      <c r="C57" s="51"/>
      <c r="D57" s="51"/>
      <c r="E57" s="51"/>
      <c r="F57" s="51"/>
      <c r="G57" s="51"/>
      <c r="J57" s="58"/>
      <c r="K57" s="58"/>
      <c r="L57" s="58"/>
    </row>
    <row r="58" spans="1:12" s="45" customFormat="1">
      <c r="A58" s="40">
        <v>14</v>
      </c>
      <c r="B58" s="41" t="s">
        <v>57</v>
      </c>
      <c r="C58" s="51">
        <f t="shared" ref="C58:F58" si="13">+C59*2080</f>
        <v>61486.879999999997</v>
      </c>
      <c r="D58" s="51">
        <f t="shared" si="13"/>
        <v>64279.904000000002</v>
      </c>
      <c r="E58" s="51">
        <f t="shared" si="13"/>
        <v>67266.576000000001</v>
      </c>
      <c r="F58" s="51">
        <f t="shared" si="13"/>
        <v>70412.159999999989</v>
      </c>
      <c r="G58" s="52">
        <f>G59*2080</f>
        <v>71857.551999999996</v>
      </c>
      <c r="J58" s="58"/>
      <c r="K58" s="58"/>
      <c r="L58" s="58"/>
    </row>
    <row r="59" spans="1:12" s="45" customFormat="1">
      <c r="A59" s="39"/>
      <c r="B59" s="41" t="s">
        <v>58</v>
      </c>
      <c r="C59" s="51">
        <v>29.561</v>
      </c>
      <c r="D59" s="51">
        <v>30.9038</v>
      </c>
      <c r="E59" s="51">
        <v>32.339700000000001</v>
      </c>
      <c r="F59" s="51">
        <v>33.851999999999997</v>
      </c>
      <c r="G59" s="56">
        <v>34.546900000000001</v>
      </c>
      <c r="J59" s="58"/>
      <c r="K59" s="58"/>
      <c r="L59" s="58"/>
    </row>
    <row r="60" spans="1:12">
      <c r="A60" s="11"/>
      <c r="B60" s="41" t="s">
        <v>72</v>
      </c>
      <c r="C60" s="11"/>
      <c r="D60" s="11"/>
      <c r="E60" s="11"/>
      <c r="F60" s="11"/>
      <c r="G60" s="11"/>
      <c r="J60" s="19"/>
      <c r="K60" s="19"/>
      <c r="L60" s="19"/>
    </row>
  </sheetData>
  <mergeCells count="2">
    <mergeCell ref="A3:H3"/>
    <mergeCell ref="A33:H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773B2C2D61E4448599B0F29698B8A5" ma:contentTypeVersion="17" ma:contentTypeDescription="Create a new document." ma:contentTypeScope="" ma:versionID="64a70fc9c0df0f4b0315fe4c2710c110">
  <xsd:schema xmlns:xsd="http://www.w3.org/2001/XMLSchema" xmlns:xs="http://www.w3.org/2001/XMLSchema" xmlns:p="http://schemas.microsoft.com/office/2006/metadata/properties" xmlns:ns2="9ba73637-d497-46f6-b302-95ddb4cc5119" xmlns:ns3="1c69eaec-8e67-4bc2-bea0-9b648f5fbc61" targetNamespace="http://schemas.microsoft.com/office/2006/metadata/properties" ma:root="true" ma:fieldsID="e36d3a88321a00133dc50afb97f53d16" ns2:_="" ns3:_="">
    <xsd:import namespace="9ba73637-d497-46f6-b302-95ddb4cc5119"/>
    <xsd:import namespace="1c69eaec-8e67-4bc2-bea0-9b648f5fbc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a73637-d497-46f6-b302-95ddb4cc51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91b81d1-96d3-446b-92b1-710b11950f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69eaec-8e67-4bc2-bea0-9b648f5fbc6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fe86c46-14ef-40ef-8c24-1e3363c4f4b8}" ma:internalName="TaxCatchAll" ma:showField="CatchAllData" ma:web="1c69eaec-8e67-4bc2-bea0-9b648f5fbc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69eaec-8e67-4bc2-bea0-9b648f5fbc61" xsi:nil="true"/>
    <lcf76f155ced4ddcb4097134ff3c332f xmlns="9ba73637-d497-46f6-b302-95ddb4cc511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3B7829-371F-4856-802E-55870A5DC2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a73637-d497-46f6-b302-95ddb4cc5119"/>
    <ds:schemaRef ds:uri="1c69eaec-8e67-4bc2-bea0-9b648f5fbc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F34341-BCD6-456A-A758-5496D7E52B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A5E903-1F41-477A-AC29-F01C80D17BD6}">
  <ds:schemaRefs>
    <ds:schemaRef ds:uri="http://schemas.microsoft.com/office/2006/metadata/properties"/>
    <ds:schemaRef ds:uri="http://schemas.microsoft.com/office/infopath/2007/PartnerControls"/>
    <ds:schemaRef ds:uri="f749faf4-da90-46f0-b616-d3066e7c46b5"/>
    <ds:schemaRef ds:uri="aba055a5-7ea0-4e12-8bfa-cf58bc3206fd"/>
    <ds:schemaRef ds:uri="1c69eaec-8e67-4bc2-bea0-9b648f5fbc61"/>
    <ds:schemaRef ds:uri="9ba73637-d497-46f6-b302-95ddb4cc511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3% Increase 2017</vt:lpstr>
      <vt:lpstr>2% Increase 2018</vt:lpstr>
      <vt:lpstr>5% Increase May 2023</vt:lpstr>
      <vt:lpstr>1.5% Increase July 2023</vt:lpstr>
      <vt:lpstr>1% Increase March 2024</vt:lpstr>
      <vt:lpstr>2% Increase July 2024</vt:lpstr>
      <vt:lpstr>3% Increase October 2025</vt:lpstr>
      <vt:lpstr>2.5% Increase July 2026</vt:lpstr>
      <vt:lpstr>2.5% Increase July 2027</vt:lpstr>
      <vt:lpstr>'2% Increase 2018'!Print_Area</vt:lpstr>
      <vt:lpstr>'3% Increase 2017'!Print_Area</vt:lpstr>
      <vt:lpstr>'5% Increase May 2023'!Print_Area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JGHEDOTT</dc:creator>
  <cp:keywords/>
  <dc:description/>
  <cp:lastModifiedBy>Dawnetta Boyd-Hale</cp:lastModifiedBy>
  <cp:revision/>
  <cp:lastPrinted>2024-07-11T16:51:08Z</cp:lastPrinted>
  <dcterms:created xsi:type="dcterms:W3CDTF">2001-05-03T20:40:56Z</dcterms:created>
  <dcterms:modified xsi:type="dcterms:W3CDTF">2025-10-22T14:56:51Z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0x01010001773B2C2D61E4448599B0F29698B8A5</vt:lpwstr>
  </property>
  <property fmtid="{D5CDD505-2E9C-101B-9397-08002B2CF9AE}" pid="3" name="Order">
    <vt:r8>314400</vt:r8>
  </property>
  <property fmtid="{D5CDD505-2E9C-101B-9397-08002B2CF9AE}" pid="4" name="MediaServiceImageTags">
    <vt:lpwstr/>
  </property>
</Properties>
</file>